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5360" windowHeight="13956"/>
  </bookViews>
  <sheets>
    <sheet name="不変性試験" sheetId="10" r:id="rId1"/>
    <sheet name="コントラスト応答" sheetId="5" r:id="rId2"/>
    <sheet name="最大輝度" sheetId="7" r:id="rId3"/>
    <sheet name="グレードパラメータ" sheetId="11" r:id="rId4"/>
  </sheets>
  <definedNames>
    <definedName name="_xlnm._FilterDatabase" localSheetId="0" hidden="1">不変性試験!$B$5:$H$26</definedName>
    <definedName name="_ftn1" localSheetId="0">不変性試験!$B$28</definedName>
    <definedName name="_ftnref1" localSheetId="0">不変性試験!$H$24</definedName>
    <definedName name="OLE_LINK1" localSheetId="0">不変性試験!$F$18</definedName>
    <definedName name="_xlnm.Print_Area" localSheetId="1">コントラスト応答!$A$3:$Q$24</definedName>
    <definedName name="_xlnm.Print_Area" localSheetId="2">最大輝度!$A$1:$AF$14</definedName>
    <definedName name="_xlnm.Print_Area" localSheetId="0">不変性試験!$B$4:$H$26</definedName>
  </definedNames>
  <calcPr calcId="145621" calcOnSave="0"/>
</workbook>
</file>

<file path=xl/calcChain.xml><?xml version="1.0" encoding="utf-8"?>
<calcChain xmlns="http://schemas.openxmlformats.org/spreadsheetml/2006/main">
  <c r="AC4" i="5" l="1"/>
  <c r="AB4" i="5"/>
  <c r="AB21" i="5" s="1"/>
  <c r="AC21" i="5"/>
  <c r="AB6" i="5" l="1"/>
  <c r="AB8" i="5"/>
  <c r="AB10" i="5"/>
  <c r="AB12" i="5"/>
  <c r="AB14" i="5"/>
  <c r="AB16" i="5"/>
  <c r="AB18" i="5"/>
  <c r="AB20" i="5"/>
  <c r="AC6" i="5"/>
  <c r="AC8" i="5"/>
  <c r="AC10" i="5"/>
  <c r="AC12" i="5"/>
  <c r="AC14" i="5"/>
  <c r="AC16" i="5"/>
  <c r="AC18" i="5"/>
  <c r="AC20" i="5"/>
  <c r="AB5" i="5"/>
  <c r="AB7" i="5"/>
  <c r="AB9" i="5"/>
  <c r="AB11" i="5"/>
  <c r="AB13" i="5"/>
  <c r="AB15" i="5"/>
  <c r="AB17" i="5"/>
  <c r="AB19" i="5"/>
  <c r="AC5" i="5"/>
  <c r="AC7" i="5"/>
  <c r="AC9" i="5"/>
  <c r="AC11" i="5"/>
  <c r="AC13" i="5"/>
  <c r="AC15" i="5"/>
  <c r="AC17" i="5"/>
  <c r="AC19" i="5"/>
  <c r="C9" i="7"/>
  <c r="H23" i="10" l="1"/>
  <c r="C5" i="7"/>
  <c r="H24" i="10"/>
  <c r="H25" i="10"/>
  <c r="H22" i="10"/>
  <c r="I23" i="5"/>
  <c r="H21" i="10" s="1"/>
  <c r="H26" i="10" l="1"/>
  <c r="D25" i="10"/>
  <c r="D22" i="10"/>
  <c r="D21" i="10"/>
  <c r="E5" i="5"/>
  <c r="F5" i="5"/>
  <c r="D22" i="5"/>
  <c r="D5" i="5"/>
  <c r="T22" i="5"/>
  <c r="S22" i="5"/>
  <c r="T5" i="5"/>
  <c r="E8" i="5"/>
  <c r="F8" i="5"/>
  <c r="E9" i="5"/>
  <c r="F9" i="5"/>
  <c r="E10" i="5"/>
  <c r="F10" i="5"/>
  <c r="G10" i="5"/>
  <c r="H10" i="5"/>
  <c r="E11" i="5"/>
  <c r="F11" i="5"/>
  <c r="G11" i="5"/>
  <c r="H11" i="5"/>
  <c r="E12" i="5"/>
  <c r="F12" i="5"/>
  <c r="E13" i="5"/>
  <c r="F13" i="5"/>
  <c r="E14" i="5"/>
  <c r="F14" i="5"/>
  <c r="G14" i="5"/>
  <c r="H14" i="5"/>
  <c r="E15" i="5"/>
  <c r="F15" i="5"/>
  <c r="G15" i="5"/>
  <c r="H15" i="5"/>
  <c r="E16" i="5"/>
  <c r="F16" i="5"/>
  <c r="E17" i="5"/>
  <c r="F17" i="5"/>
  <c r="E18" i="5"/>
  <c r="F18" i="5"/>
  <c r="G18" i="5"/>
  <c r="H18" i="5"/>
  <c r="E19" i="5"/>
  <c r="F19" i="5"/>
  <c r="G19" i="5"/>
  <c r="H19" i="5"/>
  <c r="E20" i="5"/>
  <c r="F20" i="5"/>
  <c r="E21" i="5"/>
  <c r="F21" i="5"/>
  <c r="E7" i="5"/>
  <c r="F7" i="5"/>
  <c r="G7" i="5"/>
  <c r="H7" i="5"/>
  <c r="E6" i="5"/>
  <c r="F6" i="5"/>
  <c r="G6" i="5"/>
  <c r="H6" i="5"/>
  <c r="G8" i="7"/>
  <c r="C7" i="7"/>
  <c r="C8" i="7"/>
  <c r="C6" i="7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S7" i="5"/>
  <c r="G21" i="5"/>
  <c r="H21" i="5"/>
  <c r="G17" i="5"/>
  <c r="H17" i="5"/>
  <c r="G13" i="5"/>
  <c r="H13" i="5"/>
  <c r="G9" i="5"/>
  <c r="H9" i="5"/>
  <c r="S5" i="5"/>
  <c r="S6" i="5"/>
  <c r="G20" i="5"/>
  <c r="H20" i="5"/>
  <c r="G16" i="5"/>
  <c r="H16" i="5"/>
  <c r="G12" i="5"/>
  <c r="H12" i="5"/>
  <c r="G8" i="5"/>
  <c r="H8" i="5"/>
  <c r="G5" i="5"/>
  <c r="H5" i="5"/>
  <c r="T7" i="5"/>
  <c r="Y6" i="5"/>
  <c r="S8" i="5"/>
  <c r="T6" i="5"/>
  <c r="U5" i="5"/>
  <c r="Y5" i="5"/>
  <c r="V5" i="5"/>
  <c r="W5" i="5"/>
  <c r="X5" i="5"/>
  <c r="AA5" i="5"/>
  <c r="U6" i="5"/>
  <c r="T8" i="5"/>
  <c r="U7" i="5"/>
  <c r="Y7" i="5"/>
  <c r="S9" i="5"/>
  <c r="I5" i="5"/>
  <c r="V7" i="5"/>
  <c r="W7" i="5"/>
  <c r="X7" i="5"/>
  <c r="AA7" i="5"/>
  <c r="S10" i="5"/>
  <c r="T9" i="5"/>
  <c r="U8" i="5"/>
  <c r="Y8" i="5"/>
  <c r="V6" i="5"/>
  <c r="W6" i="5"/>
  <c r="X6" i="5"/>
  <c r="AA6" i="5"/>
  <c r="I6" i="5"/>
  <c r="I7" i="5"/>
  <c r="T10" i="5"/>
  <c r="U9" i="5"/>
  <c r="Y9" i="5"/>
  <c r="S11" i="5"/>
  <c r="V8" i="5"/>
  <c r="W8" i="5"/>
  <c r="X8" i="5"/>
  <c r="AA8" i="5"/>
  <c r="V9" i="5"/>
  <c r="W9" i="5"/>
  <c r="X9" i="5"/>
  <c r="AA9" i="5"/>
  <c r="I8" i="5"/>
  <c r="T11" i="5"/>
  <c r="U10" i="5"/>
  <c r="Y10" i="5"/>
  <c r="S12" i="5"/>
  <c r="I9" i="5"/>
  <c r="V10" i="5"/>
  <c r="W10" i="5"/>
  <c r="X10" i="5"/>
  <c r="AA10" i="5"/>
  <c r="T12" i="5"/>
  <c r="U11" i="5"/>
  <c r="Y11" i="5"/>
  <c r="S13" i="5"/>
  <c r="V11" i="5"/>
  <c r="W11" i="5"/>
  <c r="X11" i="5"/>
  <c r="AA11" i="5"/>
  <c r="I10" i="5"/>
  <c r="S14" i="5"/>
  <c r="T13" i="5"/>
  <c r="U12" i="5"/>
  <c r="Y12" i="5"/>
  <c r="I11" i="5"/>
  <c r="V12" i="5"/>
  <c r="W12" i="5"/>
  <c r="X12" i="5"/>
  <c r="AA12" i="5"/>
  <c r="T14" i="5"/>
  <c r="U13" i="5"/>
  <c r="Y13" i="5"/>
  <c r="S15" i="5"/>
  <c r="V13" i="5"/>
  <c r="W13" i="5"/>
  <c r="X13" i="5"/>
  <c r="AA13" i="5"/>
  <c r="T15" i="5"/>
  <c r="U14" i="5"/>
  <c r="Y14" i="5"/>
  <c r="S16" i="5"/>
  <c r="I12" i="5"/>
  <c r="I13" i="5"/>
  <c r="V14" i="5"/>
  <c r="W14" i="5"/>
  <c r="X14" i="5"/>
  <c r="AA14" i="5"/>
  <c r="T16" i="5"/>
  <c r="U15" i="5"/>
  <c r="Y15" i="5"/>
  <c r="S17" i="5"/>
  <c r="I14" i="5"/>
  <c r="V15" i="5"/>
  <c r="W15" i="5"/>
  <c r="X15" i="5"/>
  <c r="AA15" i="5"/>
  <c r="S18" i="5"/>
  <c r="T17" i="5"/>
  <c r="U16" i="5"/>
  <c r="Y16" i="5"/>
  <c r="T18" i="5"/>
  <c r="U17" i="5"/>
  <c r="Y17" i="5"/>
  <c r="S19" i="5"/>
  <c r="I15" i="5"/>
  <c r="V16" i="5"/>
  <c r="W16" i="5"/>
  <c r="X16" i="5"/>
  <c r="AA16" i="5"/>
  <c r="I16" i="5"/>
  <c r="T19" i="5"/>
  <c r="U18" i="5"/>
  <c r="Y18" i="5"/>
  <c r="S20" i="5"/>
  <c r="V17" i="5"/>
  <c r="W17" i="5"/>
  <c r="X17" i="5"/>
  <c r="AA17" i="5"/>
  <c r="I17" i="5"/>
  <c r="T20" i="5"/>
  <c r="U19" i="5"/>
  <c r="Y19" i="5"/>
  <c r="S21" i="5"/>
  <c r="V18" i="5"/>
  <c r="W18" i="5"/>
  <c r="X18" i="5"/>
  <c r="AA18" i="5"/>
  <c r="V19" i="5"/>
  <c r="W19" i="5"/>
  <c r="X19" i="5"/>
  <c r="AA19" i="5"/>
  <c r="T21" i="5"/>
  <c r="Y20" i="5"/>
  <c r="Y21" i="5"/>
  <c r="I18" i="5"/>
  <c r="U21" i="5"/>
  <c r="U20" i="5"/>
  <c r="I19" i="5"/>
  <c r="V20" i="5"/>
  <c r="W20" i="5"/>
  <c r="X20" i="5"/>
  <c r="AA20" i="5"/>
  <c r="V21" i="5"/>
  <c r="W21" i="5"/>
  <c r="X21" i="5"/>
  <c r="AA21" i="5"/>
  <c r="I21" i="5"/>
  <c r="I20" i="5"/>
</calcChain>
</file>

<file path=xl/sharedStrings.xml><?xml version="1.0" encoding="utf-8"?>
<sst xmlns="http://schemas.openxmlformats.org/spreadsheetml/2006/main" count="132" uniqueCount="114">
  <si>
    <t>最大輝度</t>
    <rPh sb="0" eb="2">
      <t>サイダイ</t>
    </rPh>
    <rPh sb="2" eb="4">
      <t>キド</t>
    </rPh>
    <phoneticPr fontId="2"/>
  </si>
  <si>
    <t>医療機関</t>
  </si>
  <si>
    <t>承認</t>
  </si>
  <si>
    <t>担当</t>
  </si>
  <si>
    <t>設置場所</t>
  </si>
  <si>
    <t>機種名</t>
  </si>
  <si>
    <t>Sr.No.</t>
  </si>
  <si>
    <t>試験日</t>
  </si>
  <si>
    <t>判定方法</t>
  </si>
  <si>
    <t>分類</t>
  </si>
  <si>
    <t>確認項目</t>
  </si>
  <si>
    <t>判定</t>
  </si>
  <si>
    <t>目視</t>
  </si>
  <si>
    <t>全体評価</t>
  </si>
  <si>
    <t>基準臨床画像の判定箇所が問題なく見えること。</t>
  </si>
  <si>
    <t>グレースケール</t>
  </si>
  <si>
    <t>アーチファクト</t>
  </si>
  <si>
    <t>フリッカー</t>
  </si>
  <si>
    <t>クロストーク</t>
  </si>
  <si>
    <t>ビデオアーチファクト</t>
  </si>
  <si>
    <t>滑らかな単調連続表示であること。</t>
    <phoneticPr fontId="2"/>
  </si>
  <si>
    <t>≧100</t>
    <phoneticPr fontId="2"/>
  </si>
  <si>
    <t>≦±30</t>
    <phoneticPr fontId="2"/>
  </si>
  <si>
    <t>16（11）段階のパッチの輝度差が明瞭に判別できること。</t>
  </si>
  <si>
    <t>5%95%パッチが見えること。</t>
  </si>
  <si>
    <t>≧250</t>
  </si>
  <si>
    <t>照度計型名</t>
    <rPh sb="0" eb="2">
      <t>ショウド</t>
    </rPh>
    <rPh sb="2" eb="3">
      <t>ケイ</t>
    </rPh>
    <rPh sb="3" eb="5">
      <t>カタメイ</t>
    </rPh>
    <phoneticPr fontId="2"/>
  </si>
  <si>
    <t>LNパターン</t>
    <phoneticPr fontId="2"/>
  </si>
  <si>
    <t>測定輝度</t>
    <rPh sb="0" eb="2">
      <t>ソクテイ</t>
    </rPh>
    <rPh sb="2" eb="4">
      <t>キド</t>
    </rPh>
    <phoneticPr fontId="2"/>
  </si>
  <si>
    <t>モニタ 2</t>
    <phoneticPr fontId="2"/>
  </si>
  <si>
    <t>モニタ 3</t>
    <phoneticPr fontId="2"/>
  </si>
  <si>
    <t>マルチモニタ入力</t>
    <rPh sb="6" eb="8">
      <t>ニュウリョク</t>
    </rPh>
    <phoneticPr fontId="2"/>
  </si>
  <si>
    <t>本モニタ</t>
    <rPh sb="0" eb="1">
      <t>ホン</t>
    </rPh>
    <phoneticPr fontId="2"/>
  </si>
  <si>
    <t>⊿L</t>
    <phoneticPr fontId="2"/>
  </si>
  <si>
    <t>L(mean)</t>
    <phoneticPr fontId="2"/>
  </si>
  <si>
    <t>⊿L/L</t>
    <phoneticPr fontId="2"/>
  </si>
  <si>
    <t>J (L)</t>
    <phoneticPr fontId="2"/>
  </si>
  <si>
    <t>入力可能セル</t>
    <rPh sb="0" eb="2">
      <t>ニュウリョク</t>
    </rPh>
    <rPh sb="2" eb="4">
      <t>カノウ</t>
    </rPh>
    <phoneticPr fontId="2"/>
  </si>
  <si>
    <t>輝度均一性</t>
    <phoneticPr fontId="2"/>
  </si>
  <si>
    <t>著しい非一様性がないこと</t>
    <phoneticPr fontId="2"/>
  </si>
  <si>
    <t>測定</t>
    <rPh sb="0" eb="2">
      <t>ソクテイ</t>
    </rPh>
    <phoneticPr fontId="2"/>
  </si>
  <si>
    <t>最大輝度基準値</t>
    <rPh sb="0" eb="2">
      <t>サイダイ</t>
    </rPh>
    <rPh sb="2" eb="4">
      <t>キド</t>
    </rPh>
    <rPh sb="4" eb="7">
      <t>キジュンチ</t>
    </rPh>
    <phoneticPr fontId="2"/>
  </si>
  <si>
    <t>Sr.No.</t>
    <phoneticPr fontId="2"/>
  </si>
  <si>
    <t>OK</t>
    <phoneticPr fontId="2"/>
  </si>
  <si>
    <t>輝度比</t>
    <rPh sb="0" eb="2">
      <t>キド</t>
    </rPh>
    <rPh sb="2" eb="3">
      <t>ヒ</t>
    </rPh>
    <phoneticPr fontId="2"/>
  </si>
  <si>
    <t>総合判定</t>
    <rPh sb="0" eb="2">
      <t>ソウゴウ</t>
    </rPh>
    <rPh sb="2" eb="4">
      <t>ハンテイ</t>
    </rPh>
    <phoneticPr fontId="2"/>
  </si>
  <si>
    <t>目視判定が合格で、測定値が表示されていること。</t>
    <rPh sb="0" eb="2">
      <t>モクシ</t>
    </rPh>
    <rPh sb="2" eb="4">
      <t>ハンテイ</t>
    </rPh>
    <rPh sb="5" eb="7">
      <t>ゴウカク</t>
    </rPh>
    <rPh sb="9" eb="12">
      <t>ソクテイチ</t>
    </rPh>
    <rPh sb="13" eb="15">
      <t>ヒョウジ</t>
    </rPh>
    <phoneticPr fontId="2"/>
  </si>
  <si>
    <t>⊿L/L for a JND</t>
    <phoneticPr fontId="2"/>
  </si>
  <si>
    <t>DICOM_JND</t>
    <phoneticPr fontId="2"/>
  </si>
  <si>
    <t>DICOM輝度</t>
    <rPh sb="5" eb="7">
      <t>キド</t>
    </rPh>
    <phoneticPr fontId="2"/>
  </si>
  <si>
    <t>平均JND</t>
    <rPh sb="0" eb="2">
      <t>ヘイキン</t>
    </rPh>
    <phoneticPr fontId="2"/>
  </si>
  <si>
    <t>⊿L</t>
    <phoneticPr fontId="2"/>
  </si>
  <si>
    <t>L(ave)</t>
    <phoneticPr fontId="2"/>
  </si>
  <si>
    <t>⊿L/L</t>
    <phoneticPr fontId="2"/>
  </si>
  <si>
    <t>⊿L/L for a JND</t>
    <phoneticPr fontId="2"/>
  </si>
  <si>
    <t>DICOM</t>
    <phoneticPr fontId="2"/>
  </si>
  <si>
    <t>色度計型名</t>
    <phoneticPr fontId="2"/>
  </si>
  <si>
    <t>輝度計型名</t>
    <rPh sb="0" eb="2">
      <t>キド</t>
    </rPh>
    <rPh sb="2" eb="3">
      <t>ケイ</t>
    </rPh>
    <rPh sb="3" eb="5">
      <t>カタメイ</t>
    </rPh>
    <phoneticPr fontId="2"/>
  </si>
  <si>
    <t>モニタ 4</t>
    <phoneticPr fontId="2"/>
  </si>
  <si>
    <t>アーチファクトが確認できないこと。</t>
    <phoneticPr fontId="2"/>
  </si>
  <si>
    <t>≧170</t>
    <phoneticPr fontId="2"/>
  </si>
  <si>
    <t>≦±15</t>
    <phoneticPr fontId="2"/>
  </si>
  <si>
    <t>≧350</t>
    <phoneticPr fontId="2"/>
  </si>
  <si>
    <t>≦±10</t>
    <phoneticPr fontId="2"/>
  </si>
  <si>
    <t>輝度変化率≦±10</t>
    <rPh sb="0" eb="2">
      <t>キド</t>
    </rPh>
    <rPh sb="2" eb="4">
      <t>ヘンカ</t>
    </rPh>
    <rPh sb="4" eb="5">
      <t>リツ</t>
    </rPh>
    <phoneticPr fontId="2"/>
  </si>
  <si>
    <t>グレード2</t>
    <phoneticPr fontId="2"/>
  </si>
  <si>
    <t>グレード1A</t>
    <phoneticPr fontId="2"/>
  </si>
  <si>
    <t>グレード1B</t>
    <phoneticPr fontId="2"/>
  </si>
  <si>
    <t>コントラスト応答</t>
    <phoneticPr fontId="2"/>
  </si>
  <si>
    <t>最大輝度</t>
    <phoneticPr fontId="2"/>
  </si>
  <si>
    <t>輝度比</t>
    <phoneticPr fontId="2"/>
  </si>
  <si>
    <t>輝度比</t>
    <phoneticPr fontId="2"/>
  </si>
  <si>
    <t>単位</t>
    <rPh sb="0" eb="2">
      <t>タンイ</t>
    </rPh>
    <phoneticPr fontId="2"/>
  </si>
  <si>
    <t>%</t>
    <phoneticPr fontId="2"/>
  </si>
  <si>
    <r>
      <t>Κ</t>
    </r>
    <r>
      <rPr>
        <vertAlign val="subscript"/>
        <sz val="11"/>
        <rFont val="ＭＳ Ｐゴシック"/>
        <family val="3"/>
        <charset val="128"/>
      </rPr>
      <t>δ</t>
    </r>
    <phoneticPr fontId="2"/>
  </si>
  <si>
    <t>マルチ医用モニタ間≦10</t>
    <rPh sb="8" eb="9">
      <t>アイダ</t>
    </rPh>
    <phoneticPr fontId="2"/>
  </si>
  <si>
    <t>LN-01</t>
    <phoneticPr fontId="2"/>
  </si>
  <si>
    <t>LN-02</t>
    <phoneticPr fontId="2"/>
  </si>
  <si>
    <t>LN-03</t>
  </si>
  <si>
    <t>LN-04</t>
  </si>
  <si>
    <t>LN-05</t>
  </si>
  <si>
    <t>LN-06</t>
  </si>
  <si>
    <t>LN-07</t>
  </si>
  <si>
    <t>LN-08</t>
  </si>
  <si>
    <t>LN-09</t>
  </si>
  <si>
    <t>LN-10</t>
  </si>
  <si>
    <t>LN-11</t>
  </si>
  <si>
    <t>LN-12</t>
  </si>
  <si>
    <t>LN-13</t>
  </si>
  <si>
    <t>LN-14</t>
  </si>
  <si>
    <t>LN-15</t>
  </si>
  <si>
    <t>LN-16</t>
  </si>
  <si>
    <t>LN-17</t>
  </si>
  <si>
    <t>LN-18</t>
    <phoneticPr fontId="2"/>
  </si>
  <si>
    <t>マルチ医用モニタ間</t>
    <rPh sb="3" eb="5">
      <t>イヨウ</t>
    </rPh>
    <rPh sb="8" eb="9">
      <t>カン</t>
    </rPh>
    <phoneticPr fontId="2"/>
  </si>
  <si>
    <t>最大エラー率</t>
    <rPh sb="0" eb="2">
      <t>サイダイ</t>
    </rPh>
    <rPh sb="5" eb="6">
      <t>リツ</t>
    </rPh>
    <phoneticPr fontId="2"/>
  </si>
  <si>
    <t>エラー率</t>
    <rPh sb="3" eb="4">
      <t>リツ</t>
    </rPh>
    <phoneticPr fontId="2"/>
  </si>
  <si>
    <t>管理グレード</t>
    <rPh sb="0" eb="2">
      <t>カンリ</t>
    </rPh>
    <phoneticPr fontId="2"/>
  </si>
  <si>
    <t>計算式</t>
    <phoneticPr fontId="2"/>
  </si>
  <si>
    <r>
      <t>JESRA X-0093*B</t>
    </r>
    <r>
      <rPr>
        <b/>
        <vertAlign val="superscript"/>
        <sz val="16"/>
        <rFont val="ＭＳ Ｐゴシック"/>
        <family val="3"/>
        <charset val="128"/>
      </rPr>
      <t>-2017</t>
    </r>
    <phoneticPr fontId="2"/>
  </si>
  <si>
    <t>OK</t>
  </si>
  <si>
    <t>　</t>
    <phoneticPr fontId="2"/>
  </si>
  <si>
    <t>判定値</t>
    <rPh sb="0" eb="2">
      <t>ハンテイ</t>
    </rPh>
    <rPh sb="2" eb="3">
      <t>チ</t>
    </rPh>
    <phoneticPr fontId="2"/>
  </si>
  <si>
    <t>グレード1A</t>
  </si>
  <si>
    <r>
      <t>L</t>
    </r>
    <r>
      <rPr>
        <vertAlign val="subscript"/>
        <sz val="11"/>
        <rFont val="ＭＳ Ｐゴシック"/>
        <family val="3"/>
        <charset val="128"/>
      </rPr>
      <t>max</t>
    </r>
    <phoneticPr fontId="2"/>
  </si>
  <si>
    <r>
      <t>(L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n</t>
    </r>
    <r>
      <rPr>
        <sz val="11"/>
        <rFont val="ＭＳ Ｐゴシック"/>
        <family val="3"/>
        <charset val="128"/>
      </rPr>
      <t>－L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o</t>
    </r>
    <r>
      <rPr>
        <sz val="11"/>
        <rFont val="ＭＳ Ｐゴシック"/>
        <family val="3"/>
        <charset val="128"/>
      </rPr>
      <t>)
/L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o</t>
    </r>
    <r>
      <rPr>
        <sz val="11"/>
        <rFont val="ＭＳ Ｐゴシック"/>
        <family val="3"/>
        <charset val="128"/>
      </rPr>
      <t>*100</t>
    </r>
    <phoneticPr fontId="2"/>
  </si>
  <si>
    <r>
      <t>(L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H</t>
    </r>
    <r>
      <rPr>
        <sz val="11"/>
        <rFont val="ＭＳ Ｐゴシック"/>
        <family val="3"/>
        <charset val="128"/>
      </rPr>
      <t>－L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L</t>
    </r>
    <r>
      <rPr>
        <sz val="11"/>
        <rFont val="ＭＳ Ｐゴシック"/>
        <family val="3"/>
        <charset val="128"/>
      </rPr>
      <t>)
/L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L</t>
    </r>
    <r>
      <rPr>
        <sz val="11"/>
        <rFont val="ＭＳ Ｐゴシック"/>
        <family val="3"/>
        <charset val="128"/>
      </rPr>
      <t xml:space="preserve"> *100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</si>
  <si>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/L</t>
    </r>
    <r>
      <rPr>
        <vertAlign val="subscript"/>
        <sz val="11"/>
        <rFont val="ＭＳ Ｐゴシック"/>
        <family val="3"/>
        <charset val="128"/>
      </rPr>
      <t>min</t>
    </r>
    <phoneticPr fontId="2"/>
  </si>
  <si>
    <r>
      <t>cd/m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</si>
  <si>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 xml:space="preserve">入力方法：管理グレードを選択する。入力可能セルに必要な項目を記入する。
</t>
    <rPh sb="0" eb="2">
      <t>ニュウリョク</t>
    </rPh>
    <rPh sb="2" eb="4">
      <t>ホウホウ</t>
    </rPh>
    <rPh sb="24" eb="26">
      <t>ヒツヨウ</t>
    </rPh>
    <rPh sb="27" eb="29">
      <t>コウモク</t>
    </rPh>
    <phoneticPr fontId="2"/>
  </si>
  <si>
    <t>入力方法：TG18-LN-01～LN-18パターンの測定輝度を入力する</t>
    <rPh sb="26" eb="28">
      <t>ソクテイ</t>
    </rPh>
    <rPh sb="28" eb="30">
      <t>キド</t>
    </rPh>
    <phoneticPr fontId="2"/>
  </si>
  <si>
    <t>入力方法：マルチ医用モニタのTG18-LN-18の輝度をモニタ 2～モニタ 4に入力する</t>
    <rPh sb="8" eb="10">
      <t>イヨウ</t>
    </rPh>
    <rPh sb="25" eb="27">
      <t>キド</t>
    </rPh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</si>
  <si>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max_H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</si>
  <si>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max_L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</si>
</sst>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0.00_ "/>
    <numFmt numFmtId="177" formatCode="0.0_ "/>
    <numFmt numFmtId="178" formatCode="0.0000_ "/>
    <numFmt numFmtId="179" formatCode="0.000_ "/>
    <numFmt numFmtId="180" formatCode="0_ "/>
    <numFmt numFmtId="181" formatCode="#,##0.0;[Red]\-#,##0.0"/>
    <numFmt numFmtId="182" formatCode="#,##0.000;[Red]\-#,##0.000"/>
    <numFmt numFmtId="183" formatCode="#,##0.0000;[Red]\-#,##0.0000"/>
    <numFmt numFmtId="184" formatCode="0.0_);[Red]\(0.0\)"/>
    <numFmt numFmtId="185" formatCode="0.00_);[Red]\(0.00\)"/>
    <numFmt numFmtId="186" formatCode="#,##0.00_ ;[Red]\-#,##0.00\ "/>
    <numFmt numFmtId="187" formatCode="0.0"/>
    <numFmt numFmtId="188" formatCode="&quot;+&quot;0%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vertAlign val="superscript"/>
      <sz val="16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3" fillId="0" borderId="0" xfId="2" applyAlignment="1" applyProtection="1">
      <alignment vertical="center"/>
    </xf>
    <xf numFmtId="0" fontId="5" fillId="0" borderId="0" xfId="0" applyFont="1" applyProtection="1">
      <alignment vertical="center"/>
    </xf>
    <xf numFmtId="0" fontId="0" fillId="0" borderId="0" xfId="0" applyProtection="1">
      <alignment vertical="center"/>
    </xf>
    <xf numFmtId="0" fontId="0" fillId="0" borderId="0" xfId="0" applyFill="1" applyProtection="1">
      <alignment vertical="center"/>
    </xf>
    <xf numFmtId="40" fontId="0" fillId="3" borderId="3" xfId="3" applyNumberFormat="1" applyFont="1" applyFill="1" applyBorder="1" applyProtection="1">
      <alignment vertical="center"/>
      <protection locked="0"/>
    </xf>
    <xf numFmtId="40" fontId="0" fillId="3" borderId="3" xfId="3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Protection="1">
      <alignment vertical="center"/>
    </xf>
    <xf numFmtId="0" fontId="0" fillId="4" borderId="1" xfId="0" applyFill="1" applyBorder="1" applyProtection="1">
      <alignment vertical="center"/>
    </xf>
    <xf numFmtId="0" fontId="0" fillId="4" borderId="1" xfId="0" applyFill="1" applyBorder="1" applyAlignment="1" applyProtection="1">
      <alignment horizontal="center" vertical="center"/>
    </xf>
    <xf numFmtId="177" fontId="0" fillId="0" borderId="0" xfId="0" applyNumberFormat="1" applyProtection="1">
      <alignment vertical="center"/>
    </xf>
    <xf numFmtId="0" fontId="0" fillId="0" borderId="0" xfId="0" applyAlignment="1">
      <alignment horizontal="center" vertical="center"/>
    </xf>
    <xf numFmtId="40" fontId="0" fillId="4" borderId="1" xfId="3" applyNumberFormat="1" applyFont="1" applyFill="1" applyBorder="1" applyProtection="1">
      <alignment vertical="center"/>
    </xf>
    <xf numFmtId="40" fontId="0" fillId="4" borderId="9" xfId="3" applyNumberFormat="1" applyFont="1" applyFill="1" applyBorder="1" applyProtection="1">
      <alignment vertical="center"/>
    </xf>
    <xf numFmtId="0" fontId="0" fillId="4" borderId="10" xfId="0" applyFill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9" fontId="7" fillId="0" borderId="0" xfId="0" quotePrefix="1" applyNumberFormat="1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center" vertical="center"/>
    </xf>
    <xf numFmtId="40" fontId="7" fillId="0" borderId="0" xfId="3" applyNumberFormat="1" applyFont="1" applyFill="1" applyBorder="1" applyProtection="1">
      <alignment vertical="center"/>
    </xf>
    <xf numFmtId="181" fontId="7" fillId="0" borderId="0" xfId="3" applyNumberFormat="1" applyFont="1" applyFill="1" applyBorder="1" applyProtection="1">
      <alignment vertical="center"/>
    </xf>
    <xf numFmtId="182" fontId="7" fillId="0" borderId="0" xfId="3" applyNumberFormat="1" applyFont="1" applyFill="1" applyBorder="1" applyProtection="1">
      <alignment vertical="center"/>
    </xf>
    <xf numFmtId="183" fontId="7" fillId="0" borderId="0" xfId="3" applyNumberFormat="1" applyFont="1" applyFill="1" applyBorder="1" applyProtection="1">
      <alignment vertical="center"/>
    </xf>
    <xf numFmtId="0" fontId="8" fillId="0" borderId="0" xfId="0" applyFont="1" applyFill="1" applyBorder="1" applyProtection="1">
      <alignment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</xf>
    <xf numFmtId="0" fontId="0" fillId="4" borderId="9" xfId="0" applyFill="1" applyBorder="1" applyProtection="1">
      <alignment vertical="center"/>
    </xf>
    <xf numFmtId="181" fontId="0" fillId="0" borderId="14" xfId="3" applyNumberFormat="1" applyFont="1" applyFill="1" applyBorder="1" applyProtection="1">
      <alignment vertical="center"/>
    </xf>
    <xf numFmtId="40" fontId="0" fillId="0" borderId="7" xfId="3" applyNumberFormat="1" applyFont="1" applyFill="1" applyBorder="1" applyProtection="1">
      <alignment vertical="center"/>
    </xf>
    <xf numFmtId="182" fontId="0" fillId="0" borderId="7" xfId="3" applyNumberFormat="1" applyFont="1" applyFill="1" applyBorder="1" applyProtection="1">
      <alignment vertical="center"/>
    </xf>
    <xf numFmtId="183" fontId="1" fillId="0" borderId="7" xfId="3" applyNumberFormat="1" applyFont="1" applyFill="1" applyBorder="1" applyProtection="1">
      <alignment vertical="center"/>
    </xf>
    <xf numFmtId="176" fontId="0" fillId="0" borderId="7" xfId="1" applyNumberFormat="1" applyFont="1" applyFill="1" applyBorder="1" applyProtection="1">
      <alignment vertical="center"/>
    </xf>
    <xf numFmtId="181" fontId="0" fillId="0" borderId="15" xfId="3" applyNumberFormat="1" applyFont="1" applyFill="1" applyBorder="1" applyProtection="1">
      <alignment vertical="center"/>
    </xf>
    <xf numFmtId="40" fontId="0" fillId="0" borderId="8" xfId="3" applyNumberFormat="1" applyFont="1" applyFill="1" applyBorder="1" applyProtection="1">
      <alignment vertical="center"/>
    </xf>
    <xf numFmtId="182" fontId="0" fillId="0" borderId="8" xfId="3" applyNumberFormat="1" applyFont="1" applyFill="1" applyBorder="1" applyProtection="1">
      <alignment vertical="center"/>
    </xf>
    <xf numFmtId="183" fontId="1" fillId="0" borderId="8" xfId="3" applyNumberFormat="1" applyFont="1" applyFill="1" applyBorder="1" applyProtection="1">
      <alignment vertical="center"/>
    </xf>
    <xf numFmtId="176" fontId="0" fillId="0" borderId="8" xfId="1" applyNumberFormat="1" applyFont="1" applyFill="1" applyBorder="1" applyProtection="1">
      <alignment vertical="center"/>
    </xf>
    <xf numFmtId="181" fontId="0" fillId="0" borderId="16" xfId="3" applyNumberFormat="1" applyFont="1" applyFill="1" applyBorder="1" applyProtection="1">
      <alignment vertical="center"/>
    </xf>
    <xf numFmtId="40" fontId="0" fillId="0" borderId="17" xfId="3" applyNumberFormat="1" applyFont="1" applyFill="1" applyBorder="1" applyProtection="1">
      <alignment vertical="center"/>
    </xf>
    <xf numFmtId="182" fontId="0" fillId="0" borderId="17" xfId="3" applyNumberFormat="1" applyFont="1" applyFill="1" applyBorder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182" fontId="1" fillId="0" borderId="21" xfId="3" applyNumberFormat="1" applyFont="1" applyFill="1" applyBorder="1" applyProtection="1">
      <alignment vertical="center"/>
    </xf>
    <xf numFmtId="176" fontId="0" fillId="0" borderId="21" xfId="1" applyNumberFormat="1" applyFont="1" applyFill="1" applyBorder="1" applyProtection="1">
      <alignment vertical="center"/>
    </xf>
    <xf numFmtId="0" fontId="7" fillId="0" borderId="0" xfId="0" applyFont="1" applyProtection="1">
      <alignment vertical="center"/>
    </xf>
    <xf numFmtId="176" fontId="0" fillId="4" borderId="1" xfId="1" applyNumberFormat="1" applyFont="1" applyFill="1" applyBorder="1" applyProtection="1">
      <alignment vertical="center"/>
    </xf>
    <xf numFmtId="0" fontId="0" fillId="6" borderId="13" xfId="0" applyFill="1" applyBorder="1" applyProtection="1">
      <alignment vertical="center"/>
    </xf>
    <xf numFmtId="0" fontId="0" fillId="6" borderId="22" xfId="0" applyFill="1" applyBorder="1" applyProtection="1">
      <alignment vertical="center"/>
    </xf>
    <xf numFmtId="0" fontId="0" fillId="6" borderId="23" xfId="0" applyFill="1" applyBorder="1" applyProtection="1">
      <alignment vertical="center"/>
    </xf>
    <xf numFmtId="0" fontId="0" fillId="6" borderId="24" xfId="0" applyFill="1" applyBorder="1" applyProtection="1">
      <alignment vertical="center"/>
    </xf>
    <xf numFmtId="0" fontId="0" fillId="6" borderId="25" xfId="0" applyFill="1" applyBorder="1" applyProtection="1">
      <alignment vertical="center"/>
    </xf>
    <xf numFmtId="0" fontId="0" fillId="6" borderId="0" xfId="0" applyFill="1" applyBorder="1" applyProtection="1">
      <alignment vertical="center"/>
    </xf>
    <xf numFmtId="0" fontId="0" fillId="6" borderId="26" xfId="0" applyFill="1" applyBorder="1" applyProtection="1">
      <alignment vertical="center"/>
    </xf>
    <xf numFmtId="0" fontId="0" fillId="6" borderId="27" xfId="0" applyFill="1" applyBorder="1" applyProtection="1">
      <alignment vertical="center"/>
    </xf>
    <xf numFmtId="0" fontId="0" fillId="6" borderId="28" xfId="0" applyFill="1" applyBorder="1" applyProtection="1">
      <alignment vertical="center"/>
    </xf>
    <xf numFmtId="0" fontId="1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6" fillId="3" borderId="58" xfId="0" applyFont="1" applyFill="1" applyBorder="1" applyAlignment="1" applyProtection="1">
      <alignment horizontal="center" vertical="center" wrapText="1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locked="0"/>
    </xf>
    <xf numFmtId="0" fontId="6" fillId="3" borderId="61" xfId="0" applyFont="1" applyFill="1" applyBorder="1" applyAlignment="1" applyProtection="1">
      <alignment horizontal="center" vertical="center" wrapText="1"/>
      <protection locked="0"/>
    </xf>
    <xf numFmtId="0" fontId="6" fillId="3" borderId="60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1" fillId="5" borderId="4" xfId="0" applyFont="1" applyFill="1" applyBorder="1" applyAlignment="1" applyProtection="1">
      <alignment horizontal="justify" vertical="center" wrapText="1"/>
    </xf>
    <xf numFmtId="0" fontId="1" fillId="5" borderId="30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justify" vertical="center" wrapText="1"/>
    </xf>
    <xf numFmtId="0" fontId="1" fillId="5" borderId="10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justify" vertical="center" wrapText="1"/>
    </xf>
    <xf numFmtId="0" fontId="1" fillId="5" borderId="10" xfId="0" applyFont="1" applyFill="1" applyBorder="1" applyAlignment="1" applyProtection="1">
      <alignment horizontal="justify" vertical="center" wrapText="1"/>
    </xf>
    <xf numFmtId="0" fontId="1" fillId="5" borderId="7" xfId="0" applyFont="1" applyFill="1" applyBorder="1" applyAlignment="1" applyProtection="1">
      <alignment horizontal="justify" vertical="center" wrapText="1"/>
    </xf>
    <xf numFmtId="0" fontId="1" fillId="5" borderId="13" xfId="0" applyFont="1" applyFill="1" applyBorder="1" applyAlignment="1" applyProtection="1">
      <alignment horizontal="justify" vertical="center" wrapText="1"/>
    </xf>
    <xf numFmtId="0" fontId="1" fillId="5" borderId="8" xfId="0" applyFont="1" applyFill="1" applyBorder="1" applyAlignment="1" applyProtection="1">
      <alignment vertical="center" wrapText="1"/>
    </xf>
    <xf numFmtId="0" fontId="1" fillId="5" borderId="24" xfId="0" applyFont="1" applyFill="1" applyBorder="1" applyAlignment="1" applyProtection="1">
      <alignment vertical="center" wrapText="1"/>
    </xf>
    <xf numFmtId="0" fontId="1" fillId="5" borderId="2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0" fillId="0" borderId="1" xfId="0" applyFont="1" applyBorder="1" applyAlignment="1" applyProtection="1">
      <alignment horizontal="justify" vertical="center" wrapText="1"/>
    </xf>
    <xf numFmtId="0" fontId="0" fillId="0" borderId="26" xfId="0" applyFont="1" applyBorder="1" applyAlignment="1" applyProtection="1">
      <alignment horizontal="justify" vertical="center" wrapText="1"/>
    </xf>
    <xf numFmtId="0" fontId="0" fillId="5" borderId="1" xfId="0" applyFont="1" applyFill="1" applyBorder="1" applyAlignment="1" applyProtection="1">
      <alignment horizontal="justify" vertical="center" wrapText="1"/>
    </xf>
    <xf numFmtId="0" fontId="0" fillId="5" borderId="10" xfId="0" applyFont="1" applyFill="1" applyBorder="1" applyAlignment="1" applyProtection="1">
      <alignment horizontal="justify" vertical="center" wrapText="1"/>
    </xf>
    <xf numFmtId="177" fontId="6" fillId="4" borderId="2" xfId="1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vertical="center" wrapText="1"/>
    </xf>
    <xf numFmtId="0" fontId="0" fillId="5" borderId="13" xfId="0" applyFont="1" applyFill="1" applyBorder="1" applyAlignment="1" applyProtection="1">
      <alignment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8" xfId="0" applyFont="1" applyFill="1" applyBorder="1" applyAlignment="1" applyProtection="1">
      <alignment horizontal="justify" vertical="center" wrapText="1"/>
    </xf>
    <xf numFmtId="187" fontId="6" fillId="9" borderId="43" xfId="0" applyNumberFormat="1" applyFont="1" applyFill="1" applyBorder="1" applyAlignment="1" applyProtection="1">
      <alignment horizontal="center" vertical="center"/>
    </xf>
    <xf numFmtId="0" fontId="0" fillId="5" borderId="31" xfId="0" applyFont="1" applyFill="1" applyBorder="1" applyAlignment="1" applyProtection="1">
      <alignment vertical="center" wrapText="1"/>
    </xf>
    <xf numFmtId="0" fontId="0" fillId="5" borderId="26" xfId="0" applyFont="1" applyFill="1" applyBorder="1" applyAlignment="1" applyProtection="1">
      <alignment horizontal="justify" vertical="center" wrapText="1"/>
    </xf>
    <xf numFmtId="177" fontId="6" fillId="4" borderId="52" xfId="1" applyNumberFormat="1" applyFont="1" applyFill="1" applyBorder="1" applyAlignment="1" applyProtection="1">
      <alignment horizontal="center" vertical="center" wrapText="1"/>
    </xf>
    <xf numFmtId="0" fontId="0" fillId="5" borderId="54" xfId="0" applyFont="1" applyFill="1" applyBorder="1" applyAlignment="1" applyProtection="1">
      <alignment horizontal="justify" vertical="center" wrapText="1"/>
    </xf>
    <xf numFmtId="0" fontId="0" fillId="5" borderId="55" xfId="0" applyFont="1" applyFill="1" applyBorder="1" applyAlignment="1" applyProtection="1">
      <alignment horizontal="justify" vertical="center" wrapText="1"/>
    </xf>
    <xf numFmtId="177" fontId="6" fillId="4" borderId="57" xfId="1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6" fillId="9" borderId="1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20" fontId="0" fillId="0" borderId="0" xfId="0" applyNumberFormat="1" applyProtection="1">
      <alignment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34" xfId="0" applyFont="1" applyFill="1" applyBorder="1" applyAlignment="1" applyProtection="1">
      <alignment horizontal="left" vertical="center" wrapText="1"/>
    </xf>
    <xf numFmtId="0" fontId="0" fillId="8" borderId="10" xfId="0" applyFill="1" applyBorder="1" applyAlignment="1" applyProtection="1">
      <alignment horizontal="center" vertical="center"/>
    </xf>
    <xf numFmtId="0" fontId="0" fillId="8" borderId="32" xfId="0" applyFill="1" applyBorder="1" applyAlignment="1" applyProtection="1">
      <alignment horizontal="center" vertical="center"/>
    </xf>
    <xf numFmtId="0" fontId="6" fillId="7" borderId="10" xfId="0" applyFont="1" applyFill="1" applyBorder="1" applyAlignment="1" applyProtection="1">
      <alignment horizontal="center" vertical="center" wrapText="1"/>
      <protection locked="0"/>
    </xf>
    <xf numFmtId="0" fontId="6" fillId="7" borderId="32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justify" vertical="center" wrapText="1"/>
    </xf>
    <xf numFmtId="0" fontId="0" fillId="5" borderId="13" xfId="0" applyFont="1" applyFill="1" applyBorder="1" applyAlignment="1" applyProtection="1">
      <alignment horizontal="left" vertical="center" wrapText="1"/>
    </xf>
    <xf numFmtId="0" fontId="0" fillId="5" borderId="22" xfId="0" applyFont="1" applyFill="1" applyBorder="1" applyAlignment="1" applyProtection="1">
      <alignment horizontal="left" vertical="center" wrapText="1"/>
    </xf>
    <xf numFmtId="0" fontId="0" fillId="5" borderId="24" xfId="0" applyFont="1" applyFill="1" applyBorder="1" applyAlignment="1" applyProtection="1">
      <alignment horizontal="left" vertical="center" wrapText="1"/>
    </xf>
    <xf numFmtId="0" fontId="0" fillId="5" borderId="0" xfId="0" applyFont="1" applyFill="1" applyBorder="1" applyAlignment="1" applyProtection="1">
      <alignment horizontal="left" vertical="center" wrapText="1"/>
    </xf>
    <xf numFmtId="0" fontId="0" fillId="5" borderId="26" xfId="0" applyFont="1" applyFill="1" applyBorder="1" applyAlignment="1" applyProtection="1">
      <alignment horizontal="left" vertical="center" wrapText="1"/>
    </xf>
    <xf numFmtId="0" fontId="0" fillId="5" borderId="27" xfId="0" applyFont="1" applyFill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35" xfId="0" applyFont="1" applyBorder="1" applyAlignment="1" applyProtection="1">
      <alignment horizontal="left" vertical="center" wrapText="1"/>
    </xf>
    <xf numFmtId="0" fontId="1" fillId="5" borderId="36" xfId="0" applyFont="1" applyFill="1" applyBorder="1" applyAlignment="1" applyProtection="1">
      <alignment horizontal="justify" vertical="center" wrapText="1"/>
    </xf>
    <xf numFmtId="0" fontId="1" fillId="5" borderId="53" xfId="0" applyFont="1" applyFill="1" applyBorder="1" applyAlignment="1" applyProtection="1">
      <alignment horizontal="justify" vertical="center" wrapText="1"/>
    </xf>
    <xf numFmtId="0" fontId="0" fillId="5" borderId="10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0" fillId="5" borderId="1" xfId="0" applyFont="1" applyFill="1" applyBorder="1" applyAlignment="1" applyProtection="1">
      <alignment horizontal="justify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7" xfId="0" applyFont="1" applyFill="1" applyBorder="1" applyAlignment="1" applyProtection="1">
      <alignment horizontal="left" vertical="center" wrapText="1"/>
    </xf>
    <xf numFmtId="0" fontId="1" fillId="5" borderId="38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horizontal="left" vertical="center" wrapText="1"/>
    </xf>
    <xf numFmtId="0" fontId="0" fillId="5" borderId="19" xfId="0" applyFont="1" applyFill="1" applyBorder="1" applyAlignment="1" applyProtection="1">
      <alignment horizontal="left" vertical="center" wrapText="1"/>
    </xf>
    <xf numFmtId="0" fontId="0" fillId="5" borderId="33" xfId="0" applyFont="1" applyFill="1" applyBorder="1" applyAlignment="1" applyProtection="1">
      <alignment horizontal="left" vertical="center" wrapText="1"/>
    </xf>
    <xf numFmtId="0" fontId="0" fillId="5" borderId="31" xfId="0" applyFont="1" applyFill="1" applyBorder="1" applyAlignment="1" applyProtection="1">
      <alignment horizontal="justify" vertical="center" wrapText="1"/>
    </xf>
    <xf numFmtId="0" fontId="1" fillId="5" borderId="31" xfId="0" applyFont="1" applyFill="1" applyBorder="1" applyAlignment="1" applyProtection="1">
      <alignment horizontal="justify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5" borderId="40" xfId="0" applyFont="1" applyFill="1" applyBorder="1" applyAlignment="1" applyProtection="1">
      <alignment horizontal="center" vertical="center" wrapText="1"/>
    </xf>
    <xf numFmtId="0" fontId="1" fillId="5" borderId="31" xfId="0" applyFont="1" applyFill="1" applyBorder="1" applyAlignment="1" applyProtection="1">
      <alignment horizontal="center" vertical="center" wrapText="1"/>
    </xf>
    <xf numFmtId="0" fontId="0" fillId="5" borderId="55" xfId="0" applyFont="1" applyFill="1" applyBorder="1" applyAlignment="1" applyProtection="1">
      <alignment horizontal="left" vertical="center" wrapText="1"/>
    </xf>
    <xf numFmtId="0" fontId="1" fillId="5" borderId="56" xfId="0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justify" vertical="center" wrapText="1"/>
    </xf>
    <xf numFmtId="0" fontId="1" fillId="5" borderId="17" xfId="0" applyFont="1" applyFill="1" applyBorder="1" applyAlignment="1" applyProtection="1">
      <alignment horizontal="justify" vertical="center" wrapText="1"/>
    </xf>
    <xf numFmtId="0" fontId="1" fillId="5" borderId="7" xfId="0" applyFont="1" applyFill="1" applyBorder="1" applyAlignment="1" applyProtection="1">
      <alignment horizontal="justify" vertical="center" wrapText="1"/>
    </xf>
    <xf numFmtId="0" fontId="1" fillId="5" borderId="30" xfId="0" applyFont="1" applyFill="1" applyBorder="1" applyAlignment="1" applyProtection="1">
      <alignment horizontal="center" vertical="center" wrapText="1"/>
    </xf>
    <xf numFmtId="0" fontId="1" fillId="5" borderId="41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4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43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44" xfId="0" applyFont="1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/>
    </xf>
    <xf numFmtId="0" fontId="0" fillId="3" borderId="32" xfId="0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40" xfId="0" applyFont="1" applyFill="1" applyBorder="1" applyAlignment="1" applyProtection="1">
      <alignment horizontal="center" vertical="center" wrapText="1"/>
      <protection locked="0"/>
    </xf>
    <xf numFmtId="0" fontId="0" fillId="2" borderId="9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 wrapText="1"/>
    </xf>
    <xf numFmtId="0" fontId="0" fillId="3" borderId="45" xfId="0" applyFill="1" applyBorder="1" applyAlignment="1" applyProtection="1">
      <alignment horizontal="center" vertical="center"/>
    </xf>
    <xf numFmtId="0" fontId="0" fillId="3" borderId="46" xfId="0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180" fontId="0" fillId="4" borderId="48" xfId="0" applyNumberFormat="1" applyFill="1" applyBorder="1" applyAlignment="1" applyProtection="1">
      <alignment horizontal="center" vertical="center"/>
    </xf>
    <xf numFmtId="180" fontId="0" fillId="4" borderId="49" xfId="0" applyNumberFormat="1" applyFill="1" applyBorder="1" applyAlignment="1" applyProtection="1">
      <alignment horizontal="center" vertical="center"/>
    </xf>
    <xf numFmtId="180" fontId="0" fillId="4" borderId="50" xfId="0" applyNumberFormat="1" applyFill="1" applyBorder="1" applyAlignment="1" applyProtection="1">
      <alignment horizontal="center" vertical="center"/>
    </xf>
    <xf numFmtId="180" fontId="0" fillId="4" borderId="51" xfId="0" applyNumberFormat="1" applyFill="1" applyBorder="1" applyAlignment="1" applyProtection="1">
      <alignment horizontal="center" vertical="center"/>
    </xf>
    <xf numFmtId="0" fontId="0" fillId="3" borderId="48" xfId="0" applyFill="1" applyBorder="1" applyAlignment="1" applyProtection="1">
      <alignment horizontal="center" vertical="center"/>
      <protection locked="0"/>
    </xf>
    <xf numFmtId="0" fontId="0" fillId="3" borderId="49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47" xfId="0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186" fontId="12" fillId="0" borderId="0" xfId="0" applyNumberFormat="1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Alignment="1" applyProtection="1">
      <alignment horizontal="center" vertical="center"/>
    </xf>
    <xf numFmtId="188" fontId="12" fillId="0" borderId="0" xfId="0" quotePrefix="1" applyNumberFormat="1" applyFont="1" applyAlignment="1" applyProtection="1">
      <alignment horizontal="center" vertical="center"/>
    </xf>
    <xf numFmtId="9" fontId="12" fillId="0" borderId="0" xfId="0" applyNumberFormat="1" applyFont="1" applyAlignment="1" applyProtection="1">
      <alignment horizontal="center" vertical="center"/>
    </xf>
    <xf numFmtId="181" fontId="12" fillId="0" borderId="0" xfId="0" applyNumberFormat="1" applyFont="1" applyBorder="1" applyProtection="1">
      <alignment vertical="center"/>
    </xf>
    <xf numFmtId="40" fontId="12" fillId="0" borderId="0" xfId="3" applyNumberFormat="1" applyFont="1" applyFill="1" applyBorder="1" applyAlignment="1"/>
    <xf numFmtId="40" fontId="12" fillId="0" borderId="0" xfId="3" applyNumberFormat="1" applyFont="1" applyFill="1" applyBorder="1" applyProtection="1">
      <alignment vertical="center"/>
    </xf>
    <xf numFmtId="178" fontId="12" fillId="0" borderId="0" xfId="0" applyNumberFormat="1" applyFont="1" applyBorder="1" applyProtection="1">
      <alignment vertical="center"/>
    </xf>
    <xf numFmtId="183" fontId="12" fillId="0" borderId="0" xfId="3" applyNumberFormat="1" applyFont="1" applyFill="1" applyBorder="1" applyProtection="1">
      <alignment vertical="center"/>
    </xf>
    <xf numFmtId="184" fontId="12" fillId="0" borderId="0" xfId="0" applyNumberFormat="1" applyFont="1" applyBorder="1">
      <alignment vertical="center"/>
    </xf>
    <xf numFmtId="178" fontId="12" fillId="0" borderId="0" xfId="0" applyNumberFormat="1" applyFont="1" applyFill="1" applyBorder="1" applyProtection="1">
      <alignment vertical="center"/>
    </xf>
    <xf numFmtId="0" fontId="12" fillId="0" borderId="0" xfId="0" applyFont="1" applyBorder="1" applyProtection="1">
      <alignment vertical="center"/>
    </xf>
    <xf numFmtId="185" fontId="12" fillId="0" borderId="0" xfId="0" applyNumberFormat="1" applyFont="1" applyBorder="1">
      <alignment vertical="center"/>
    </xf>
    <xf numFmtId="181" fontId="12" fillId="0" borderId="0" xfId="3" applyNumberFormat="1" applyFont="1" applyFill="1" applyBorder="1" applyProtection="1">
      <alignment vertical="center"/>
    </xf>
    <xf numFmtId="179" fontId="12" fillId="0" borderId="0" xfId="0" applyNumberFormat="1" applyFont="1" applyProtection="1">
      <alignment vertical="center"/>
    </xf>
    <xf numFmtId="0" fontId="9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54966483851309"/>
          <c:y val="6.535947712418301E-2"/>
          <c:w val="0.76416836066228633"/>
          <c:h val="0.78213611629194058"/>
        </c:manualLayout>
      </c:layout>
      <c:scatterChart>
        <c:scatterStyle val="smoothMarker"/>
        <c:varyColors val="0"/>
        <c:ser>
          <c:idx val="3"/>
          <c:order val="0"/>
          <c:tx>
            <c:v>DICOM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64.402286343726431</c:v>
                </c:pt>
                <c:pt idx="1">
                  <c:v>100.97137821815635</c:v>
                </c:pt>
                <c:pt idx="2">
                  <c:v>137.54047009258625</c:v>
                </c:pt>
                <c:pt idx="3">
                  <c:v>174.10956196701619</c:v>
                </c:pt>
                <c:pt idx="4">
                  <c:v>210.67865384144608</c:v>
                </c:pt>
                <c:pt idx="5">
                  <c:v>247.24774571587602</c:v>
                </c:pt>
                <c:pt idx="6">
                  <c:v>283.81683759030591</c:v>
                </c:pt>
                <c:pt idx="7">
                  <c:v>320.38592946473591</c:v>
                </c:pt>
                <c:pt idx="8">
                  <c:v>356.9550213391658</c:v>
                </c:pt>
                <c:pt idx="9">
                  <c:v>393.5241132135958</c:v>
                </c:pt>
                <c:pt idx="10">
                  <c:v>430.09320508802568</c:v>
                </c:pt>
                <c:pt idx="11">
                  <c:v>466.66229696245568</c:v>
                </c:pt>
                <c:pt idx="12">
                  <c:v>503.23138883688557</c:v>
                </c:pt>
                <c:pt idx="13">
                  <c:v>539.80048071131546</c:v>
                </c:pt>
                <c:pt idx="14">
                  <c:v>576.36957258574535</c:v>
                </c:pt>
                <c:pt idx="15">
                  <c:v>612.93866446017523</c:v>
                </c:pt>
                <c:pt idx="16">
                  <c:v>649.50775633460512</c:v>
                </c:pt>
              </c:numCache>
            </c:numRef>
          </c:xVal>
          <c:yVal>
            <c:numRef>
              <c:f>コントラスト応答!$AA$5:$AA$21</c:f>
              <c:numCache>
                <c:formatCode>0.0000_ </c:formatCode>
                <c:ptCount val="17"/>
                <c:pt idx="0">
                  <c:v>2.4538611375570275E-2</c:v>
                </c:pt>
                <c:pt idx="1">
                  <c:v>1.8549736100401965E-2</c:v>
                </c:pt>
                <c:pt idx="2">
                  <c:v>1.5114286045089119E-2</c:v>
                </c:pt>
                <c:pt idx="3">
                  <c:v>1.2918356414559778E-2</c:v>
                </c:pt>
                <c:pt idx="4">
                  <c:v>1.1414408022499633E-2</c:v>
                </c:pt>
                <c:pt idx="5">
                  <c:v>1.0333226552468927E-2</c:v>
                </c:pt>
                <c:pt idx="6">
                  <c:v>9.527853875337864E-3</c:v>
                </c:pt>
                <c:pt idx="7">
                  <c:v>8.9116247198772203E-3</c:v>
                </c:pt>
                <c:pt idx="8">
                  <c:v>8.4302991419778865E-3</c:v>
                </c:pt>
                <c:pt idx="9">
                  <c:v>8.0482895267019981E-3</c:v>
                </c:pt>
                <c:pt idx="10">
                  <c:v>7.741331299626438E-3</c:v>
                </c:pt>
                <c:pt idx="11">
                  <c:v>7.4923433578229261E-3</c:v>
                </c:pt>
                <c:pt idx="12">
                  <c:v>7.2889725551588021E-3</c:v>
                </c:pt>
                <c:pt idx="13">
                  <c:v>7.1220760171996807E-3</c:v>
                </c:pt>
                <c:pt idx="14">
                  <c:v>6.9847497119889549E-3</c:v>
                </c:pt>
                <c:pt idx="15">
                  <c:v>6.8716876396255691E-3</c:v>
                </c:pt>
                <c:pt idx="16">
                  <c:v>6.7750399082857566E-3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コントラスト応答!$AB$4</c:f>
              <c:strCache>
                <c:ptCount val="1"/>
                <c:pt idx="0">
                  <c:v>+10%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64.402286343726431</c:v>
                </c:pt>
                <c:pt idx="1">
                  <c:v>100.97137821815635</c:v>
                </c:pt>
                <c:pt idx="2">
                  <c:v>137.54047009258625</c:v>
                </c:pt>
                <c:pt idx="3">
                  <c:v>174.10956196701619</c:v>
                </c:pt>
                <c:pt idx="4">
                  <c:v>210.67865384144608</c:v>
                </c:pt>
                <c:pt idx="5">
                  <c:v>247.24774571587602</c:v>
                </c:pt>
                <c:pt idx="6">
                  <c:v>283.81683759030591</c:v>
                </c:pt>
                <c:pt idx="7">
                  <c:v>320.38592946473591</c:v>
                </c:pt>
                <c:pt idx="8">
                  <c:v>356.9550213391658</c:v>
                </c:pt>
                <c:pt idx="9">
                  <c:v>393.5241132135958</c:v>
                </c:pt>
                <c:pt idx="10">
                  <c:v>430.09320508802568</c:v>
                </c:pt>
                <c:pt idx="11">
                  <c:v>466.66229696245568</c:v>
                </c:pt>
                <c:pt idx="12">
                  <c:v>503.23138883688557</c:v>
                </c:pt>
                <c:pt idx="13">
                  <c:v>539.80048071131546</c:v>
                </c:pt>
                <c:pt idx="14">
                  <c:v>576.36957258574535</c:v>
                </c:pt>
                <c:pt idx="15">
                  <c:v>612.93866446017523</c:v>
                </c:pt>
                <c:pt idx="16">
                  <c:v>649.50775633460512</c:v>
                </c:pt>
              </c:numCache>
            </c:numRef>
          </c:xVal>
          <c:yVal>
            <c:numRef>
              <c:f>コントラスト応答!$AB$5:$AB$21</c:f>
              <c:numCache>
                <c:formatCode>0.0000_ </c:formatCode>
                <c:ptCount val="17"/>
                <c:pt idx="0">
                  <c:v>2.6992472513127305E-2</c:v>
                </c:pt>
                <c:pt idx="1">
                  <c:v>2.0404709710442163E-2</c:v>
                </c:pt>
                <c:pt idx="2">
                  <c:v>1.6625714649598031E-2</c:v>
                </c:pt>
                <c:pt idx="3">
                  <c:v>1.4210192056015756E-2</c:v>
                </c:pt>
                <c:pt idx="4">
                  <c:v>1.2555848824749598E-2</c:v>
                </c:pt>
                <c:pt idx="5">
                  <c:v>1.136654920771582E-2</c:v>
                </c:pt>
                <c:pt idx="6">
                  <c:v>1.0480639262871651E-2</c:v>
                </c:pt>
                <c:pt idx="7">
                  <c:v>9.8027871918649426E-3</c:v>
                </c:pt>
                <c:pt idx="8">
                  <c:v>9.2733290561756755E-3</c:v>
                </c:pt>
                <c:pt idx="9">
                  <c:v>8.8531184793721983E-3</c:v>
                </c:pt>
                <c:pt idx="10">
                  <c:v>8.5154644295890817E-3</c:v>
                </c:pt>
                <c:pt idx="11">
                  <c:v>8.2415776936052201E-3</c:v>
                </c:pt>
                <c:pt idx="12">
                  <c:v>8.0178698106746823E-3</c:v>
                </c:pt>
                <c:pt idx="13">
                  <c:v>7.8342836189196491E-3</c:v>
                </c:pt>
                <c:pt idx="14">
                  <c:v>7.6832246831878507E-3</c:v>
                </c:pt>
                <c:pt idx="15">
                  <c:v>7.5588564035881265E-3</c:v>
                </c:pt>
                <c:pt idx="16">
                  <c:v>7.4525438991143332E-3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コントラスト応答!$AC$4</c:f>
              <c:strCache>
                <c:ptCount val="1"/>
                <c:pt idx="0">
                  <c:v>-10%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64.402286343726431</c:v>
                </c:pt>
                <c:pt idx="1">
                  <c:v>100.97137821815635</c:v>
                </c:pt>
                <c:pt idx="2">
                  <c:v>137.54047009258625</c:v>
                </c:pt>
                <c:pt idx="3">
                  <c:v>174.10956196701619</c:v>
                </c:pt>
                <c:pt idx="4">
                  <c:v>210.67865384144608</c:v>
                </c:pt>
                <c:pt idx="5">
                  <c:v>247.24774571587602</c:v>
                </c:pt>
                <c:pt idx="6">
                  <c:v>283.81683759030591</c:v>
                </c:pt>
                <c:pt idx="7">
                  <c:v>320.38592946473591</c:v>
                </c:pt>
                <c:pt idx="8">
                  <c:v>356.9550213391658</c:v>
                </c:pt>
                <c:pt idx="9">
                  <c:v>393.5241132135958</c:v>
                </c:pt>
                <c:pt idx="10">
                  <c:v>430.09320508802568</c:v>
                </c:pt>
                <c:pt idx="11">
                  <c:v>466.66229696245568</c:v>
                </c:pt>
                <c:pt idx="12">
                  <c:v>503.23138883688557</c:v>
                </c:pt>
                <c:pt idx="13">
                  <c:v>539.80048071131546</c:v>
                </c:pt>
                <c:pt idx="14">
                  <c:v>576.36957258574535</c:v>
                </c:pt>
                <c:pt idx="15">
                  <c:v>612.93866446017523</c:v>
                </c:pt>
                <c:pt idx="16">
                  <c:v>649.50775633460512</c:v>
                </c:pt>
              </c:numCache>
            </c:numRef>
          </c:xVal>
          <c:yVal>
            <c:numRef>
              <c:f>コントラスト応答!$AC$5:$AC$21</c:f>
              <c:numCache>
                <c:formatCode>0.0000_ </c:formatCode>
                <c:ptCount val="17"/>
                <c:pt idx="0">
                  <c:v>2.2084750238013248E-2</c:v>
                </c:pt>
                <c:pt idx="1">
                  <c:v>1.669476249036177E-2</c:v>
                </c:pt>
                <c:pt idx="2">
                  <c:v>1.3602857440580207E-2</c:v>
                </c:pt>
                <c:pt idx="3">
                  <c:v>1.1626520773103801E-2</c:v>
                </c:pt>
                <c:pt idx="4">
                  <c:v>1.027296722024967E-2</c:v>
                </c:pt>
                <c:pt idx="5">
                  <c:v>9.2999038972220345E-3</c:v>
                </c:pt>
                <c:pt idx="6">
                  <c:v>8.5750684878040783E-3</c:v>
                </c:pt>
                <c:pt idx="7">
                  <c:v>8.0204622478894979E-3</c:v>
                </c:pt>
                <c:pt idx="8">
                  <c:v>7.5872692277800984E-3</c:v>
                </c:pt>
                <c:pt idx="9">
                  <c:v>7.2434605740317988E-3</c:v>
                </c:pt>
                <c:pt idx="10">
                  <c:v>6.9671981696637943E-3</c:v>
                </c:pt>
                <c:pt idx="11">
                  <c:v>6.7431090220406338E-3</c:v>
                </c:pt>
                <c:pt idx="12">
                  <c:v>6.5600752996429219E-3</c:v>
                </c:pt>
                <c:pt idx="13">
                  <c:v>6.4098684154797131E-3</c:v>
                </c:pt>
                <c:pt idx="14">
                  <c:v>6.2862747407900592E-3</c:v>
                </c:pt>
                <c:pt idx="15">
                  <c:v>6.1845188756630125E-3</c:v>
                </c:pt>
                <c:pt idx="16">
                  <c:v>6.0975359174571808E-3</c:v>
                </c:pt>
              </c:numCache>
            </c:numRef>
          </c:yVal>
          <c:smooth val="1"/>
        </c:ser>
        <c:ser>
          <c:idx val="0"/>
          <c:order val="3"/>
          <c:tx>
            <c:v>Measured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64.402286343726431</c:v>
                </c:pt>
                <c:pt idx="1">
                  <c:v>100.97137821815635</c:v>
                </c:pt>
                <c:pt idx="2">
                  <c:v>137.54047009258625</c:v>
                </c:pt>
                <c:pt idx="3">
                  <c:v>174.10956196701619</c:v>
                </c:pt>
                <c:pt idx="4">
                  <c:v>210.67865384144608</c:v>
                </c:pt>
                <c:pt idx="5">
                  <c:v>247.24774571587602</c:v>
                </c:pt>
                <c:pt idx="6">
                  <c:v>283.81683759030591</c:v>
                </c:pt>
                <c:pt idx="7">
                  <c:v>320.38592946473591</c:v>
                </c:pt>
                <c:pt idx="8">
                  <c:v>356.9550213391658</c:v>
                </c:pt>
                <c:pt idx="9">
                  <c:v>393.5241132135958</c:v>
                </c:pt>
                <c:pt idx="10">
                  <c:v>430.09320508802568</c:v>
                </c:pt>
                <c:pt idx="11">
                  <c:v>466.66229696245568</c:v>
                </c:pt>
                <c:pt idx="12">
                  <c:v>503.23138883688557</c:v>
                </c:pt>
                <c:pt idx="13">
                  <c:v>539.80048071131546</c:v>
                </c:pt>
                <c:pt idx="14">
                  <c:v>576.36957258574535</c:v>
                </c:pt>
                <c:pt idx="15">
                  <c:v>612.93866446017523</c:v>
                </c:pt>
                <c:pt idx="16">
                  <c:v>649.50775633460512</c:v>
                </c:pt>
              </c:numCache>
            </c:numRef>
          </c:xVal>
          <c:yVal>
            <c:numRef>
              <c:f>コントラスト応答!$H$5:$H$21</c:f>
              <c:numCache>
                <c:formatCode>#,##0.0000;[Red]\-#,##0.0000</c:formatCode>
                <c:ptCount val="17"/>
                <c:pt idx="0">
                  <c:v>2.433837526208547E-2</c:v>
                </c:pt>
                <c:pt idx="1">
                  <c:v>1.8523761241808514E-2</c:v>
                </c:pt>
                <c:pt idx="2">
                  <c:v>1.5000082215197622E-2</c:v>
                </c:pt>
                <c:pt idx="3">
                  <c:v>1.329189655186286E-2</c:v>
                </c:pt>
                <c:pt idx="4">
                  <c:v>1.1350415154523546E-2</c:v>
                </c:pt>
                <c:pt idx="5">
                  <c:v>1.0115900253674901E-2</c:v>
                </c:pt>
                <c:pt idx="6">
                  <c:v>9.628743464772457E-3</c:v>
                </c:pt>
                <c:pt idx="7">
                  <c:v>8.6269092574013072E-3</c:v>
                </c:pt>
                <c:pt idx="8">
                  <c:v>8.359479935191285E-3</c:v>
                </c:pt>
                <c:pt idx="9">
                  <c:v>8.0225780990468305E-3</c:v>
                </c:pt>
                <c:pt idx="10">
                  <c:v>7.8038930849047726E-3</c:v>
                </c:pt>
                <c:pt idx="11">
                  <c:v>7.5327478443679629E-3</c:v>
                </c:pt>
                <c:pt idx="12">
                  <c:v>7.4470624003665498E-3</c:v>
                </c:pt>
                <c:pt idx="13">
                  <c:v>7.2458971636948843E-3</c:v>
                </c:pt>
                <c:pt idx="14">
                  <c:v>7.0816192467447296E-3</c:v>
                </c:pt>
                <c:pt idx="15">
                  <c:v>6.8899225848183376E-3</c:v>
                </c:pt>
                <c:pt idx="16">
                  <c:v>6.8506356831078271E-3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32000"/>
        <c:axId val="117234304"/>
      </c:scatterChart>
      <c:valAx>
        <c:axId val="11723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JND Index</a:t>
                </a:r>
              </a:p>
            </c:rich>
          </c:tx>
          <c:layout>
            <c:manualLayout>
              <c:xMode val="edge"/>
              <c:yMode val="edge"/>
              <c:x val="0.49177321970556148"/>
              <c:y val="0.919391131517531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7234304"/>
        <c:crosses val="autoZero"/>
        <c:crossBetween val="midCat"/>
      </c:valAx>
      <c:valAx>
        <c:axId val="117234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⊿L/L for a JND</a:t>
                </a:r>
              </a:p>
            </c:rich>
          </c:tx>
          <c:layout>
            <c:manualLayout>
              <c:xMode val="edge"/>
              <c:yMode val="edge"/>
              <c:x val="3.4734886534244946E-2"/>
              <c:y val="0.328976516457870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_ ;[Red]\-#,##0.000\ 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72320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846451134037925"/>
          <c:y val="0.10021799818782526"/>
          <c:w val="0.21389401482652512"/>
          <c:h val="0.237473082662455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60" verticalDpi="36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16</xdr:col>
      <xdr:colOff>464820</xdr:colOff>
      <xdr:row>23</xdr:row>
      <xdr:rowOff>0</xdr:rowOff>
    </xdr:to>
    <xdr:graphicFrame macro="">
      <xdr:nvGraphicFramePr>
        <xdr:cNvPr id="210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"/>
  <sheetViews>
    <sheetView tabSelected="1" zoomScaleNormal="100" workbookViewId="0">
      <selection activeCell="J13" sqref="J13"/>
    </sheetView>
  </sheetViews>
  <sheetFormatPr defaultColWidth="9" defaultRowHeight="13.2"/>
  <cols>
    <col min="1" max="1" width="2.33203125" style="3" customWidth="1"/>
    <col min="2" max="2" width="9.44140625" style="3" bestFit="1" customWidth="1"/>
    <col min="3" max="3" width="14.33203125" style="3" bestFit="1" customWidth="1"/>
    <col min="4" max="4" width="13.109375" style="3" customWidth="1"/>
    <col min="5" max="5" width="34.5546875" style="3" customWidth="1"/>
    <col min="6" max="6" width="18.88671875" style="3" customWidth="1"/>
    <col min="7" max="7" width="8.44140625" style="3" customWidth="1"/>
    <col min="8" max="8" width="8.44140625" style="66" customWidth="1"/>
    <col min="9" max="9" width="3.109375" style="3" customWidth="1"/>
    <col min="10" max="13" width="9" style="3"/>
    <col min="14" max="14" width="10.21875" style="3" bestFit="1" customWidth="1"/>
    <col min="15" max="15" width="14.33203125" style="3" bestFit="1" customWidth="1"/>
    <col min="16" max="16" width="9" style="3"/>
    <col min="17" max="17" width="7.109375" style="3" bestFit="1" customWidth="1"/>
    <col min="18" max="16384" width="9" style="3"/>
  </cols>
  <sheetData>
    <row r="1" spans="2:8" ht="15" customHeight="1"/>
    <row r="2" spans="2:8" ht="15" customHeight="1"/>
    <row r="3" spans="2:8" ht="15" customHeight="1">
      <c r="B3" s="67" t="s">
        <v>109</v>
      </c>
      <c r="G3" s="150" t="s">
        <v>37</v>
      </c>
      <c r="H3" s="151"/>
    </row>
    <row r="4" spans="2:8" ht="39" customHeight="1" thickBot="1">
      <c r="B4" s="190" t="s">
        <v>99</v>
      </c>
      <c r="C4" s="191"/>
      <c r="D4" s="191"/>
      <c r="E4" s="191"/>
      <c r="F4" s="191"/>
      <c r="G4" s="191"/>
      <c r="H4" s="191"/>
    </row>
    <row r="5" spans="2:8" ht="15" customHeight="1">
      <c r="B5" s="68" t="s">
        <v>1</v>
      </c>
      <c r="C5" s="105"/>
      <c r="D5" s="69" t="s">
        <v>57</v>
      </c>
      <c r="E5" s="64"/>
      <c r="F5" s="70" t="s">
        <v>2</v>
      </c>
      <c r="G5" s="142" t="s">
        <v>3</v>
      </c>
      <c r="H5" s="143"/>
    </row>
    <row r="6" spans="2:8" ht="15" customHeight="1">
      <c r="B6" s="71" t="s">
        <v>4</v>
      </c>
      <c r="C6" s="104"/>
      <c r="D6" s="72" t="s">
        <v>6</v>
      </c>
      <c r="E6" s="65"/>
      <c r="F6" s="155"/>
      <c r="G6" s="144"/>
      <c r="H6" s="145"/>
    </row>
    <row r="7" spans="2:8" ht="15" customHeight="1">
      <c r="B7" s="71" t="s">
        <v>5</v>
      </c>
      <c r="C7" s="104"/>
      <c r="D7" s="72" t="s">
        <v>56</v>
      </c>
      <c r="E7" s="65"/>
      <c r="F7" s="156"/>
      <c r="G7" s="146"/>
      <c r="H7" s="147"/>
    </row>
    <row r="8" spans="2:8" ht="15" customHeight="1">
      <c r="B8" s="71" t="s">
        <v>42</v>
      </c>
      <c r="C8" s="104"/>
      <c r="D8" s="72" t="s">
        <v>42</v>
      </c>
      <c r="E8" s="65"/>
      <c r="F8" s="156"/>
      <c r="G8" s="146"/>
      <c r="H8" s="147"/>
    </row>
    <row r="9" spans="2:8" ht="15" customHeight="1">
      <c r="B9" s="71" t="s">
        <v>7</v>
      </c>
      <c r="C9" s="104"/>
      <c r="D9" s="72" t="s">
        <v>26</v>
      </c>
      <c r="E9" s="65"/>
      <c r="F9" s="156"/>
      <c r="G9" s="146"/>
      <c r="H9" s="147"/>
    </row>
    <row r="10" spans="2:8" ht="15" customHeight="1">
      <c r="B10" s="71"/>
      <c r="C10" s="104"/>
      <c r="D10" s="72" t="s">
        <v>6</v>
      </c>
      <c r="E10" s="65"/>
      <c r="F10" s="156"/>
      <c r="G10" s="148"/>
      <c r="H10" s="149"/>
    </row>
    <row r="11" spans="2:8" ht="15" customHeight="1">
      <c r="B11" s="152" t="s">
        <v>8</v>
      </c>
      <c r="C11" s="153" t="s">
        <v>9</v>
      </c>
      <c r="D11" s="108" t="s">
        <v>97</v>
      </c>
      <c r="E11" s="109"/>
      <c r="F11" s="73" t="s">
        <v>10</v>
      </c>
      <c r="G11" s="157" t="s">
        <v>72</v>
      </c>
      <c r="H11" s="154" t="s">
        <v>11</v>
      </c>
    </row>
    <row r="12" spans="2:8" ht="15" customHeight="1">
      <c r="B12" s="152"/>
      <c r="C12" s="153"/>
      <c r="D12" s="110" t="s">
        <v>103</v>
      </c>
      <c r="E12" s="111"/>
      <c r="F12" s="74" t="s">
        <v>98</v>
      </c>
      <c r="G12" s="158"/>
      <c r="H12" s="154"/>
    </row>
    <row r="13" spans="2:8" ht="15" customHeight="1">
      <c r="B13" s="127" t="s">
        <v>12</v>
      </c>
      <c r="C13" s="112" t="s">
        <v>13</v>
      </c>
      <c r="D13" s="141" t="s">
        <v>23</v>
      </c>
      <c r="E13" s="141"/>
      <c r="F13" s="112"/>
      <c r="G13" s="134"/>
      <c r="H13" s="60" t="s">
        <v>100</v>
      </c>
    </row>
    <row r="14" spans="2:8" ht="15" customHeight="1">
      <c r="B14" s="128"/>
      <c r="C14" s="112"/>
      <c r="D14" s="139" t="s">
        <v>24</v>
      </c>
      <c r="E14" s="139"/>
      <c r="F14" s="112"/>
      <c r="G14" s="135"/>
      <c r="H14" s="62" t="s">
        <v>100</v>
      </c>
    </row>
    <row r="15" spans="2:8" ht="15" customHeight="1">
      <c r="B15" s="128"/>
      <c r="C15" s="112"/>
      <c r="D15" s="140" t="s">
        <v>14</v>
      </c>
      <c r="E15" s="140"/>
      <c r="F15" s="112"/>
      <c r="G15" s="136"/>
      <c r="H15" s="61" t="s">
        <v>100</v>
      </c>
    </row>
    <row r="16" spans="2:8" ht="15" customHeight="1">
      <c r="B16" s="128"/>
      <c r="C16" s="75" t="s">
        <v>15</v>
      </c>
      <c r="D16" s="112" t="s">
        <v>20</v>
      </c>
      <c r="E16" s="112"/>
      <c r="F16" s="75"/>
      <c r="G16" s="76"/>
      <c r="H16" s="58" t="s">
        <v>43</v>
      </c>
    </row>
    <row r="17" spans="2:8" ht="15" customHeight="1">
      <c r="B17" s="128"/>
      <c r="C17" s="112" t="s">
        <v>16</v>
      </c>
      <c r="D17" s="113" t="s">
        <v>59</v>
      </c>
      <c r="E17" s="114"/>
      <c r="F17" s="77" t="s">
        <v>17</v>
      </c>
      <c r="G17" s="78"/>
      <c r="H17" s="60" t="s">
        <v>43</v>
      </c>
    </row>
    <row r="18" spans="2:8" ht="15" customHeight="1">
      <c r="B18" s="128"/>
      <c r="C18" s="112"/>
      <c r="D18" s="115"/>
      <c r="E18" s="116"/>
      <c r="F18" s="79" t="s">
        <v>18</v>
      </c>
      <c r="G18" s="80"/>
      <c r="H18" s="62" t="s">
        <v>43</v>
      </c>
    </row>
    <row r="19" spans="2:8" ht="15" customHeight="1">
      <c r="B19" s="128"/>
      <c r="C19" s="112"/>
      <c r="D19" s="117"/>
      <c r="E19" s="118"/>
      <c r="F19" s="81" t="s">
        <v>19</v>
      </c>
      <c r="G19" s="80"/>
      <c r="H19" s="63" t="s">
        <v>43</v>
      </c>
    </row>
    <row r="20" spans="2:8" ht="15" customHeight="1">
      <c r="B20" s="129"/>
      <c r="C20" s="82" t="s">
        <v>38</v>
      </c>
      <c r="D20" s="119" t="s">
        <v>39</v>
      </c>
      <c r="E20" s="120"/>
      <c r="F20" s="83"/>
      <c r="G20" s="84"/>
      <c r="H20" s="58" t="s">
        <v>43</v>
      </c>
    </row>
    <row r="21" spans="2:8" ht="15" customHeight="1">
      <c r="B21" s="121" t="s">
        <v>40</v>
      </c>
      <c r="C21" s="85" t="s">
        <v>68</v>
      </c>
      <c r="D21" s="123" t="str">
        <f>VLOOKUP($D$12,グレードパラメータ!$A$2:$D$4,2)</f>
        <v>≦±10</v>
      </c>
      <c r="E21" s="124"/>
      <c r="F21" s="85" t="s">
        <v>74</v>
      </c>
      <c r="G21" s="86" t="s">
        <v>73</v>
      </c>
      <c r="H21" s="87">
        <f>IF(NOT(ISBLANK($D$12)),IF(ABS(コントラスト応答!I23)&gt;VLOOKUP($D$12,グレードパラメータ!$A$2:$E$4,5),"NG",コントラスト応答!I23))</f>
        <v>-3.1948771568091319</v>
      </c>
    </row>
    <row r="22" spans="2:8" ht="15" customHeight="1">
      <c r="B22" s="121"/>
      <c r="C22" s="125" t="s">
        <v>69</v>
      </c>
      <c r="D22" s="113" t="str">
        <f>VLOOKUP($D$12,グレードパラメータ!$A$2:$D$4,3)</f>
        <v>≧350</v>
      </c>
      <c r="E22" s="126"/>
      <c r="F22" s="88" t="s">
        <v>104</v>
      </c>
      <c r="G22" s="89" t="s">
        <v>108</v>
      </c>
      <c r="H22" s="87">
        <f>IF(NOT(ISBLANK($D$12)),IF(ABS(最大輝度!C5)&lt;VLOOKUP($D$12,グレードパラメータ!$A$2:$F$4,6),"NG",最大輝度!C5))</f>
        <v>386.67767300000003</v>
      </c>
    </row>
    <row r="23" spans="2:8" ht="39" customHeight="1">
      <c r="B23" s="121"/>
      <c r="C23" s="112"/>
      <c r="D23" s="130" t="s">
        <v>64</v>
      </c>
      <c r="E23" s="131"/>
      <c r="F23" s="90" t="s">
        <v>105</v>
      </c>
      <c r="G23" s="91" t="s">
        <v>73</v>
      </c>
      <c r="H23" s="92">
        <f>IF(NOT(ISBLANK($D$12)),IF((最大輝度!C5-最大輝度!C10)/最大輝度!C10*100&lt;=10,(最大輝度!C5-最大輝度!C10)/最大輝度!C10*100,"NG"))</f>
        <v>-5.6883724390243833</v>
      </c>
    </row>
    <row r="24" spans="2:8" ht="39" customHeight="1">
      <c r="B24" s="121"/>
      <c r="C24" s="112"/>
      <c r="D24" s="132" t="s">
        <v>75</v>
      </c>
      <c r="E24" s="133"/>
      <c r="F24" s="93" t="s">
        <v>106</v>
      </c>
      <c r="G24" s="94" t="s">
        <v>73</v>
      </c>
      <c r="H24" s="95">
        <f>IF(NOT(ISBLANK($D$12)),IF(最大輝度!C6&lt;=10,最大輝度!C6,"NG"),IF(最大輝度!C6&lt;=10,最大輝度!C6,"NG"))</f>
        <v>6.0314646095431454</v>
      </c>
    </row>
    <row r="25" spans="2:8" ht="15" customHeight="1" thickBot="1">
      <c r="B25" s="122"/>
      <c r="C25" s="96" t="s">
        <v>70</v>
      </c>
      <c r="D25" s="137" t="str">
        <f>VLOOKUP($D$12,グレードパラメータ!$A$2:$D$4,4)</f>
        <v>≧250</v>
      </c>
      <c r="E25" s="138"/>
      <c r="F25" s="96" t="s">
        <v>107</v>
      </c>
      <c r="G25" s="97"/>
      <c r="H25" s="98">
        <f>IF(NOT(ISBLANK($D$12)),IF(ABS(最大輝度!C9)&lt;VLOOKUP($D$12,グレードパラメータ!$A$2:$G$4,7),"NG",最大輝度!C9))</f>
        <v>784.3551425186821</v>
      </c>
    </row>
    <row r="26" spans="2:8" ht="15" customHeight="1" thickBot="1">
      <c r="B26" s="99" t="s">
        <v>45</v>
      </c>
      <c r="C26" s="106" t="s">
        <v>46</v>
      </c>
      <c r="D26" s="106"/>
      <c r="E26" s="106"/>
      <c r="F26" s="107"/>
      <c r="G26" s="100"/>
      <c r="H26" s="101" t="str">
        <f>IF(COUNTBLANK(H13:H25),"",IF(COUNTIF(H13:H25,"NG"),"NG","OK"))</f>
        <v>OK</v>
      </c>
    </row>
    <row r="27" spans="2:8" ht="15" customHeight="1">
      <c r="D27" s="102"/>
      <c r="E27" s="102"/>
    </row>
    <row r="28" spans="2:8">
      <c r="B28" s="1"/>
      <c r="D28" s="102"/>
      <c r="E28" s="102"/>
    </row>
    <row r="29" spans="2:8">
      <c r="D29" s="102"/>
      <c r="E29" s="102"/>
    </row>
    <row r="30" spans="2:8">
      <c r="D30" s="102"/>
      <c r="E30" s="102"/>
      <c r="F30" s="103"/>
    </row>
    <row r="31" spans="2:8">
      <c r="D31" s="102"/>
      <c r="E31" s="102"/>
      <c r="F31" s="103"/>
    </row>
    <row r="32" spans="2:8">
      <c r="D32" s="102"/>
      <c r="E32" s="102"/>
    </row>
    <row r="33" spans="4:5">
      <c r="D33" s="102"/>
      <c r="E33" s="102"/>
    </row>
    <row r="34" spans="4:5">
      <c r="D34" s="102"/>
      <c r="E34" s="102"/>
    </row>
    <row r="35" spans="4:5">
      <c r="D35" s="102"/>
      <c r="E35" s="102"/>
    </row>
    <row r="36" spans="4:5">
      <c r="D36" s="102"/>
    </row>
    <row r="37" spans="4:5">
      <c r="D37" s="102"/>
      <c r="E37" s="102"/>
    </row>
  </sheetData>
  <sheetProtection password="C97F" sheet="1" objects="1" scenarios="1"/>
  <mergeCells count="29">
    <mergeCell ref="G5:H5"/>
    <mergeCell ref="G6:H10"/>
    <mergeCell ref="G3:H3"/>
    <mergeCell ref="B11:B12"/>
    <mergeCell ref="C11:C12"/>
    <mergeCell ref="H11:H12"/>
    <mergeCell ref="F6:F10"/>
    <mergeCell ref="G11:G12"/>
    <mergeCell ref="G13:G15"/>
    <mergeCell ref="D25:E25"/>
    <mergeCell ref="D14:E14"/>
    <mergeCell ref="D15:E15"/>
    <mergeCell ref="D16:E16"/>
    <mergeCell ref="D13:E13"/>
    <mergeCell ref="F13:F15"/>
    <mergeCell ref="B21:B25"/>
    <mergeCell ref="D21:E21"/>
    <mergeCell ref="C22:C24"/>
    <mergeCell ref="D22:E22"/>
    <mergeCell ref="B13:B20"/>
    <mergeCell ref="C13:C15"/>
    <mergeCell ref="D23:E23"/>
    <mergeCell ref="D24:E24"/>
    <mergeCell ref="C26:F26"/>
    <mergeCell ref="D11:E11"/>
    <mergeCell ref="D12:E12"/>
    <mergeCell ref="C17:C19"/>
    <mergeCell ref="D17:E19"/>
    <mergeCell ref="D20:E20"/>
  </mergeCells>
  <phoneticPr fontId="2"/>
  <dataValidations count="1">
    <dataValidation type="list" allowBlank="1" showInputMessage="1" showErrorMessage="1" sqref="H13:H20">
      <formula1>"OK,NG"</formula1>
    </dataValidation>
  </dataValidations>
  <printOptions horizontalCentered="1"/>
  <pageMargins left="0.59055118110236227" right="0.59055118110236227" top="1.1811023622047245" bottom="0.78740157480314965" header="0.74803149606299213" footer="0.51181102362204722"/>
  <pageSetup paperSize="9" scale="85" orientation="portrait" r:id="rId1"/>
  <headerFooter alignWithMargins="0">
    <oddHeader>&amp;C不変性試験結果報告書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グレードパラメータ!$A$2:$A$4</xm:f>
          </x14:formula1>
          <xm:sqref>D12:E12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47"/>
  <sheetViews>
    <sheetView workbookViewId="0">
      <selection activeCell="H35" sqref="H35"/>
    </sheetView>
  </sheetViews>
  <sheetFormatPr defaultColWidth="9" defaultRowHeight="13.2"/>
  <cols>
    <col min="1" max="1" width="2.33203125" style="3" customWidth="1"/>
    <col min="2" max="2" width="12.109375" style="3" customWidth="1"/>
    <col min="3" max="3" width="9" style="3" bestFit="1"/>
    <col min="4" max="4" width="9" style="3"/>
    <col min="5" max="7" width="0" style="3" hidden="1" customWidth="1"/>
    <col min="8" max="8" width="15.21875" style="3" customWidth="1"/>
    <col min="9" max="9" width="9" style="3"/>
    <col min="10" max="10" width="3.33203125" style="3" customWidth="1"/>
    <col min="11" max="16384" width="9" style="3"/>
  </cols>
  <sheetData>
    <row r="1" spans="2:33" ht="13.8" thickBot="1"/>
    <row r="2" spans="2:33" ht="13.8" thickBot="1">
      <c r="B2" s="2"/>
      <c r="J2" s="159" t="s">
        <v>37</v>
      </c>
      <c r="K2" s="160"/>
      <c r="AA2" s="45"/>
      <c r="AB2" s="45"/>
      <c r="AC2" s="45"/>
      <c r="AD2" s="45"/>
      <c r="AE2" s="45"/>
      <c r="AF2" s="45"/>
      <c r="AG2" s="45"/>
    </row>
    <row r="3" spans="2:33">
      <c r="B3" s="2" t="s">
        <v>110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1"/>
      <c r="AG3" s="45"/>
    </row>
    <row r="4" spans="2:33" ht="13.8" thickBot="1">
      <c r="B4" s="24" t="s">
        <v>27</v>
      </c>
      <c r="C4" s="24" t="s">
        <v>28</v>
      </c>
      <c r="D4" s="25" t="s">
        <v>36</v>
      </c>
      <c r="E4" s="25" t="s">
        <v>33</v>
      </c>
      <c r="F4" s="25" t="s">
        <v>34</v>
      </c>
      <c r="G4" s="25" t="s">
        <v>35</v>
      </c>
      <c r="H4" s="26" t="s">
        <v>47</v>
      </c>
      <c r="I4" s="25" t="s">
        <v>96</v>
      </c>
      <c r="S4" s="173" t="s">
        <v>48</v>
      </c>
      <c r="T4" s="174" t="s">
        <v>49</v>
      </c>
      <c r="U4" s="174" t="s">
        <v>51</v>
      </c>
      <c r="V4" s="174" t="s">
        <v>52</v>
      </c>
      <c r="W4" s="174" t="s">
        <v>53</v>
      </c>
      <c r="X4" s="175" t="s">
        <v>54</v>
      </c>
      <c r="Y4" s="174" t="s">
        <v>50</v>
      </c>
      <c r="Z4" s="176"/>
      <c r="AA4" s="176" t="s">
        <v>55</v>
      </c>
      <c r="AB4" s="177">
        <f>IF(不変性試験!D12="グレード1A",10%,(IF(不変性試験!D12="グレード1B",15%,30%)))</f>
        <v>0.1</v>
      </c>
      <c r="AC4" s="178">
        <f>IF(不変性試験!D12="グレード1A",-10%,(IF(不変性試験!D12="グレード1B",-15%,-30%)))</f>
        <v>-0.1</v>
      </c>
      <c r="AD4" s="176"/>
      <c r="AE4" s="178"/>
      <c r="AF4" s="171"/>
      <c r="AG4" s="45"/>
    </row>
    <row r="5" spans="2:33" ht="13.8" thickBot="1">
      <c r="B5" s="40" t="s">
        <v>76</v>
      </c>
      <c r="C5" s="5">
        <v>0.49298799999999998</v>
      </c>
      <c r="D5" s="27">
        <f>71.498068+94.593053*LOG(C5)+41.912053*(LOG(C5))^2+9.8247004*(LOG(C5))^3+0.28175407*(LOG(C5))^4-1.1878455*(LOG(C5))^5-0.18014349*(LOG(C5))^6+0.14710899*(LOG(C5))^7-0.017046845*(LOG(C5))^8</f>
        <v>46.117740406511466</v>
      </c>
      <c r="E5" s="28">
        <f>C6-C5</f>
        <v>0.79060900000000012</v>
      </c>
      <c r="F5" s="28">
        <f>E5/2+C5</f>
        <v>0.88829250000000004</v>
      </c>
      <c r="G5" s="29">
        <f>E5/F5</f>
        <v>0.89003228103355603</v>
      </c>
      <c r="H5" s="30">
        <f>G5/((D$22-D$5)/17)</f>
        <v>2.433837526208547E-2</v>
      </c>
      <c r="I5" s="31">
        <f>((H5-AA5)/AA5)*100</f>
        <v>-0.81600425720972924</v>
      </c>
      <c r="S5" s="179">
        <f>D5</f>
        <v>46.117740406511466</v>
      </c>
      <c r="T5" s="180">
        <f>C5</f>
        <v>0.49298799999999998</v>
      </c>
      <c r="U5" s="181">
        <f>T6-T5</f>
        <v>0.80240695557246511</v>
      </c>
      <c r="V5" s="181">
        <f>U5/2+T5</f>
        <v>0.89419147778623254</v>
      </c>
      <c r="W5" s="182">
        <f>U5/V5</f>
        <v>0.89735473386416054</v>
      </c>
      <c r="X5" s="183">
        <f>W5/((S$22-S$5)/17)</f>
        <v>2.4538611375570275E-2</v>
      </c>
      <c r="Y5" s="184">
        <f>((S6-S5)/2)+S5</f>
        <v>64.402286343726431</v>
      </c>
      <c r="Z5" s="172"/>
      <c r="AA5" s="185">
        <f>X5</f>
        <v>2.4538611375570275E-2</v>
      </c>
      <c r="AB5" s="185">
        <f>AA5*(1+$AB$4)</f>
        <v>2.6992472513127305E-2</v>
      </c>
      <c r="AC5" s="185">
        <f>AA5*(1+$AC$4)</f>
        <v>2.2084750238013248E-2</v>
      </c>
      <c r="AD5" s="185"/>
      <c r="AE5" s="185"/>
      <c r="AF5" s="171"/>
      <c r="AG5" s="45"/>
    </row>
    <row r="6" spans="2:33" ht="13.8" thickBot="1">
      <c r="B6" s="41" t="s">
        <v>77</v>
      </c>
      <c r="C6" s="5">
        <v>1.2835970000000001</v>
      </c>
      <c r="D6" s="32">
        <f t="shared" ref="D6:D21" si="0">71.498068+94.593053*LOG(C6)+41.912053*(LOG(C6))^2+9.8247004*(LOG(C6))^3+0.28175407*(LOG(C6))^4-1.1878455*(LOG(C6))^5-0.18014349*(LOG(C6))^6+0.14710899*(LOG(C6))^7-0.017046845*(LOG(C6))^8</f>
        <v>82.259965125430554</v>
      </c>
      <c r="E6" s="33">
        <f t="shared" ref="E6:E21" si="1">C7-C6</f>
        <v>1.3148389999999999</v>
      </c>
      <c r="F6" s="33">
        <f t="shared" ref="F6:F21" si="2">E6/2+C6</f>
        <v>1.9410164999999999</v>
      </c>
      <c r="G6" s="34">
        <f t="shared" ref="G6:G21" si="3">E6/F6</f>
        <v>0.67739712671169972</v>
      </c>
      <c r="H6" s="35">
        <f t="shared" ref="H6:H21" si="4">G6/((D$22-D$5)/17)</f>
        <v>1.8523761241808514E-2</v>
      </c>
      <c r="I6" s="36">
        <f>((H6-AA6)/AA6)*100</f>
        <v>-0.14002818397447966</v>
      </c>
      <c r="S6" s="179">
        <f>(($D$22-$D$5)/17)+S5</f>
        <v>82.686832280941388</v>
      </c>
      <c r="T6" s="180">
        <f>10^(((-1.3011877+8.0242636*10^(-2)*(LN(S6))+1.3646699*10^(-1)*(LN(S6))^2-2.5468404*10^(-2)*(LN(S6))^3+1.3635334*10^(-3)*(LN(S6))^4))/(1-2.5840191*10^(-2)*(LN(S6))-1.0320229*10^(-1)*(LN(S6))^2+2.874562*10^(-2)*(LN(S6))^3-3.1978977*10^(-3)*(LN(S6))^4+1.2992634*10^(-4)*(LN(S6))^5))</f>
        <v>1.2953949555724651</v>
      </c>
      <c r="U6" s="181">
        <f t="shared" ref="U6:U21" si="5">T7-T6</f>
        <v>1.329739786743831</v>
      </c>
      <c r="V6" s="181">
        <f t="shared" ref="V6:V21" si="6">U6/2+T6</f>
        <v>1.9602648489443806</v>
      </c>
      <c r="W6" s="182">
        <f t="shared" ref="W6:W21" si="7">U6/V6</f>
        <v>0.67834700370202894</v>
      </c>
      <c r="X6" s="183">
        <f t="shared" ref="X6:X21" si="8">W6/((S$22-S$5)/17)</f>
        <v>1.8549736100401965E-2</v>
      </c>
      <c r="Y6" s="184">
        <f t="shared" ref="Y6:Y21" si="9">((S7-S6)/2)+S6</f>
        <v>100.97137821815635</v>
      </c>
      <c r="Z6" s="172"/>
      <c r="AA6" s="185">
        <f t="shared" ref="AA6:AA21" si="10">X6</f>
        <v>1.8549736100401965E-2</v>
      </c>
      <c r="AB6" s="185">
        <f t="shared" ref="AB6:AB21" si="11">AA6*(1+$AB$4)</f>
        <v>2.0404709710442163E-2</v>
      </c>
      <c r="AC6" s="185">
        <f>AA6*(1+$AC$4)</f>
        <v>1.669476249036177E-2</v>
      </c>
      <c r="AD6" s="185"/>
      <c r="AE6" s="185"/>
      <c r="AF6" s="171"/>
      <c r="AG6" s="45"/>
    </row>
    <row r="7" spans="2:33" ht="13.8" thickBot="1">
      <c r="B7" s="41" t="s">
        <v>78</v>
      </c>
      <c r="C7" s="6">
        <v>2.598436</v>
      </c>
      <c r="D7" s="32">
        <f t="shared" si="0"/>
        <v>118.62911916502964</v>
      </c>
      <c r="E7" s="33">
        <f t="shared" si="1"/>
        <v>1.9640140000000001</v>
      </c>
      <c r="F7" s="33">
        <f t="shared" si="2"/>
        <v>3.5804429999999998</v>
      </c>
      <c r="G7" s="34">
        <f t="shared" si="3"/>
        <v>0.54853938465156415</v>
      </c>
      <c r="H7" s="35">
        <f t="shared" si="4"/>
        <v>1.5000082215197622E-2</v>
      </c>
      <c r="I7" s="36">
        <f>((H7-AA7)/AA7)*100</f>
        <v>-0.75560188255537519</v>
      </c>
      <c r="S7" s="179">
        <f t="shared" ref="S7:S21" si="12">(($D$22-$D$5)/17)+S6</f>
        <v>119.2559241553713</v>
      </c>
      <c r="T7" s="180">
        <f t="shared" ref="T7:T21" si="13">10^(((-1.3011877+8.0242636*10^(-2)*(LN(S7))+1.3646699*10^(-1)*(LN(S7))^2-2.5468404*10^(-2)*(LN(S7))^3+1.3635334*10^(-3)*(LN(S7))^4))/(1-2.5840191*10^(-2)*(LN(S7))-1.0320229*10^(-1)*(LN(S7))^2+2.874562*10^(-2)*(LN(S7))^3-3.1978977*10^(-3)*(LN(S7))^4+1.2992634*10^(-4)*(LN(S7))^5))</f>
        <v>2.6251347423162961</v>
      </c>
      <c r="U7" s="181">
        <f t="shared" si="5"/>
        <v>2.005070104202884</v>
      </c>
      <c r="V7" s="181">
        <f t="shared" si="6"/>
        <v>3.6276697944177378</v>
      </c>
      <c r="W7" s="182">
        <f t="shared" si="7"/>
        <v>0.55271571499927807</v>
      </c>
      <c r="X7" s="183">
        <f t="shared" si="8"/>
        <v>1.5114286045089119E-2</v>
      </c>
      <c r="Y7" s="184">
        <f t="shared" si="9"/>
        <v>137.54047009258625</v>
      </c>
      <c r="Z7" s="172"/>
      <c r="AA7" s="185">
        <f t="shared" si="10"/>
        <v>1.5114286045089119E-2</v>
      </c>
      <c r="AB7" s="185">
        <f t="shared" si="11"/>
        <v>1.6625714649598031E-2</v>
      </c>
      <c r="AC7" s="185">
        <f t="shared" ref="AC7:AC21" si="14">AA7*(1+$AC$4)</f>
        <v>1.3602857440580207E-2</v>
      </c>
      <c r="AD7" s="185"/>
      <c r="AE7" s="185"/>
      <c r="AF7" s="171"/>
      <c r="AG7" s="45"/>
    </row>
    <row r="8" spans="2:33" ht="13.8" thickBot="1">
      <c r="B8" s="41" t="s">
        <v>79</v>
      </c>
      <c r="C8" s="5">
        <v>4.5624500000000001</v>
      </c>
      <c r="D8" s="32">
        <f t="shared" si="0"/>
        <v>154.7783781106065</v>
      </c>
      <c r="E8" s="33">
        <f t="shared" si="1"/>
        <v>2.9297069999999996</v>
      </c>
      <c r="F8" s="33">
        <f t="shared" si="2"/>
        <v>6.0273035000000004</v>
      </c>
      <c r="G8" s="34">
        <f t="shared" si="3"/>
        <v>0.48607258619049121</v>
      </c>
      <c r="H8" s="35">
        <f t="shared" si="4"/>
        <v>1.329189655186286E-2</v>
      </c>
      <c r="I8" s="36">
        <f t="shared" ref="I8:I21" si="15">((H8-AA8)/AA8)*100</f>
        <v>2.8915453740081043</v>
      </c>
      <c r="S8" s="179">
        <f t="shared" si="12"/>
        <v>155.82501602980122</v>
      </c>
      <c r="T8" s="180">
        <f t="shared" si="13"/>
        <v>4.6302048465191801</v>
      </c>
      <c r="U8" s="181">
        <f t="shared" si="5"/>
        <v>2.8638189648554011</v>
      </c>
      <c r="V8" s="181">
        <f t="shared" si="6"/>
        <v>6.0621143289468806</v>
      </c>
      <c r="W8" s="182">
        <f t="shared" si="7"/>
        <v>0.47241256259066761</v>
      </c>
      <c r="X8" s="183">
        <f t="shared" si="8"/>
        <v>1.2918356414559778E-2</v>
      </c>
      <c r="Y8" s="184">
        <f t="shared" si="9"/>
        <v>174.10956196701619</v>
      </c>
      <c r="Z8" s="172"/>
      <c r="AA8" s="185">
        <f t="shared" si="10"/>
        <v>1.2918356414559778E-2</v>
      </c>
      <c r="AB8" s="185">
        <f t="shared" si="11"/>
        <v>1.4210192056015756E-2</v>
      </c>
      <c r="AC8" s="185">
        <f t="shared" si="14"/>
        <v>1.1626520773103801E-2</v>
      </c>
      <c r="AD8" s="185"/>
      <c r="AE8" s="185"/>
      <c r="AF8" s="171"/>
      <c r="AG8" s="45"/>
    </row>
    <row r="9" spans="2:33" ht="13.8" thickBot="1">
      <c r="B9" s="41" t="s">
        <v>80</v>
      </c>
      <c r="C9" s="5">
        <v>7.4921569999999997</v>
      </c>
      <c r="D9" s="32">
        <f t="shared" si="0"/>
        <v>192.39089840073385</v>
      </c>
      <c r="E9" s="33">
        <f t="shared" si="1"/>
        <v>3.9242250000000007</v>
      </c>
      <c r="F9" s="33">
        <f t="shared" si="2"/>
        <v>9.4542695000000005</v>
      </c>
      <c r="G9" s="34">
        <f t="shared" si="3"/>
        <v>0.41507437459869329</v>
      </c>
      <c r="H9" s="35">
        <f t="shared" si="4"/>
        <v>1.1350415154523546E-2</v>
      </c>
      <c r="I9" s="36">
        <f t="shared" si="15"/>
        <v>-0.56063238540226679</v>
      </c>
      <c r="S9" s="179">
        <f t="shared" si="12"/>
        <v>192.39410790423113</v>
      </c>
      <c r="T9" s="180">
        <f t="shared" si="13"/>
        <v>7.4940238113745812</v>
      </c>
      <c r="U9" s="181">
        <f t="shared" si="5"/>
        <v>3.953169721321717</v>
      </c>
      <c r="V9" s="181">
        <f t="shared" si="6"/>
        <v>9.4706086720354392</v>
      </c>
      <c r="W9" s="182">
        <f t="shared" si="7"/>
        <v>0.41741453566701908</v>
      </c>
      <c r="X9" s="183">
        <f t="shared" si="8"/>
        <v>1.1414408022499633E-2</v>
      </c>
      <c r="Y9" s="184">
        <f t="shared" si="9"/>
        <v>210.67865384144608</v>
      </c>
      <c r="Z9" s="172"/>
      <c r="AA9" s="185">
        <f t="shared" si="10"/>
        <v>1.1414408022499633E-2</v>
      </c>
      <c r="AB9" s="185">
        <f t="shared" si="11"/>
        <v>1.2555848824749598E-2</v>
      </c>
      <c r="AC9" s="185">
        <f t="shared" si="14"/>
        <v>1.027296722024967E-2</v>
      </c>
      <c r="AD9" s="185"/>
      <c r="AE9" s="185"/>
      <c r="AF9" s="171"/>
      <c r="AG9" s="45"/>
    </row>
    <row r="10" spans="2:33" ht="13.8" thickBot="1">
      <c r="B10" s="41" t="s">
        <v>81</v>
      </c>
      <c r="C10" s="5">
        <v>11.416382</v>
      </c>
      <c r="D10" s="32">
        <f t="shared" si="0"/>
        <v>228.74587466418248</v>
      </c>
      <c r="E10" s="33">
        <f t="shared" si="1"/>
        <v>5.1816820000000003</v>
      </c>
      <c r="F10" s="33">
        <f t="shared" si="2"/>
        <v>14.007223</v>
      </c>
      <c r="G10" s="34">
        <f t="shared" si="3"/>
        <v>0.36992928576920642</v>
      </c>
      <c r="H10" s="35">
        <f t="shared" si="4"/>
        <v>1.0115900253674901E-2</v>
      </c>
      <c r="I10" s="36">
        <f t="shared" si="15"/>
        <v>-2.1031794637474617</v>
      </c>
      <c r="S10" s="179">
        <f t="shared" si="12"/>
        <v>228.96319977866105</v>
      </c>
      <c r="T10" s="180">
        <f t="shared" si="13"/>
        <v>11.447193532696298</v>
      </c>
      <c r="U10" s="181">
        <f t="shared" si="5"/>
        <v>5.333291093048425</v>
      </c>
      <c r="V10" s="181">
        <f t="shared" si="6"/>
        <v>14.113839079220512</v>
      </c>
      <c r="W10" s="182">
        <f t="shared" si="7"/>
        <v>0.37787671115653498</v>
      </c>
      <c r="X10" s="183">
        <f t="shared" si="8"/>
        <v>1.0333226552468927E-2</v>
      </c>
      <c r="Y10" s="184">
        <f t="shared" si="9"/>
        <v>247.24774571587602</v>
      </c>
      <c r="Z10" s="172"/>
      <c r="AA10" s="185">
        <f t="shared" si="10"/>
        <v>1.0333226552468927E-2</v>
      </c>
      <c r="AB10" s="185">
        <f t="shared" si="11"/>
        <v>1.136654920771582E-2</v>
      </c>
      <c r="AC10" s="185">
        <f t="shared" si="14"/>
        <v>9.2999038972220345E-3</v>
      </c>
      <c r="AD10" s="185"/>
      <c r="AE10" s="185"/>
      <c r="AF10" s="171"/>
      <c r="AG10" s="45"/>
    </row>
    <row r="11" spans="2:33" ht="13.8" thickBot="1">
      <c r="B11" s="41" t="s">
        <v>82</v>
      </c>
      <c r="C11" s="5">
        <v>16.598064000000001</v>
      </c>
      <c r="D11" s="32">
        <f t="shared" si="0"/>
        <v>264.46474680521715</v>
      </c>
      <c r="E11" s="33">
        <f t="shared" si="1"/>
        <v>7.0932320000000004</v>
      </c>
      <c r="F11" s="33">
        <f t="shared" si="2"/>
        <v>20.144680000000001</v>
      </c>
      <c r="G11" s="34">
        <f t="shared" si="3"/>
        <v>0.35211440439858066</v>
      </c>
      <c r="H11" s="35">
        <f t="shared" si="4"/>
        <v>9.628743464772457E-3</v>
      </c>
      <c r="I11" s="36">
        <f t="shared" si="15"/>
        <v>1.0588910236725833</v>
      </c>
      <c r="S11" s="179">
        <f t="shared" si="12"/>
        <v>265.53229165309097</v>
      </c>
      <c r="T11" s="180">
        <f t="shared" si="13"/>
        <v>16.780484625744723</v>
      </c>
      <c r="U11" s="181">
        <f t="shared" si="5"/>
        <v>7.0801987421292729</v>
      </c>
      <c r="V11" s="181">
        <f t="shared" si="6"/>
        <v>20.320583996809361</v>
      </c>
      <c r="W11" s="182">
        <f t="shared" si="7"/>
        <v>0.34842496373337356</v>
      </c>
      <c r="X11" s="183">
        <f t="shared" si="8"/>
        <v>9.527853875337864E-3</v>
      </c>
      <c r="Y11" s="184">
        <f t="shared" si="9"/>
        <v>283.81683759030591</v>
      </c>
      <c r="Z11" s="172"/>
      <c r="AA11" s="185">
        <f t="shared" si="10"/>
        <v>9.527853875337864E-3</v>
      </c>
      <c r="AB11" s="185">
        <f t="shared" si="11"/>
        <v>1.0480639262871651E-2</v>
      </c>
      <c r="AC11" s="185">
        <f t="shared" si="14"/>
        <v>8.5750684878040783E-3</v>
      </c>
      <c r="AD11" s="185"/>
      <c r="AE11" s="185"/>
      <c r="AF11" s="171"/>
      <c r="AG11" s="45"/>
    </row>
    <row r="12" spans="2:33" ht="13.8" thickBot="1">
      <c r="B12" s="41" t="s">
        <v>83</v>
      </c>
      <c r="C12" s="5">
        <v>23.691296000000001</v>
      </c>
      <c r="D12" s="32">
        <f t="shared" si="0"/>
        <v>301.34280565195849</v>
      </c>
      <c r="E12" s="33">
        <f t="shared" si="1"/>
        <v>8.8738400000000013</v>
      </c>
      <c r="F12" s="33">
        <f t="shared" si="2"/>
        <v>28.128216000000002</v>
      </c>
      <c r="G12" s="34">
        <f t="shared" si="3"/>
        <v>0.31547823722627844</v>
      </c>
      <c r="H12" s="35">
        <f t="shared" si="4"/>
        <v>8.6269092574013072E-3</v>
      </c>
      <c r="I12" s="36">
        <f t="shared" si="15"/>
        <v>-3.1948771568091319</v>
      </c>
      <c r="S12" s="179">
        <f t="shared" si="12"/>
        <v>302.10138352752091</v>
      </c>
      <c r="T12" s="180">
        <f t="shared" si="13"/>
        <v>23.860683367873996</v>
      </c>
      <c r="U12" s="181">
        <f t="shared" si="5"/>
        <v>9.2896628801399004</v>
      </c>
      <c r="V12" s="181">
        <f t="shared" si="6"/>
        <v>28.505514807943946</v>
      </c>
      <c r="W12" s="182">
        <f t="shared" si="7"/>
        <v>0.3258900231316309</v>
      </c>
      <c r="X12" s="183">
        <f t="shared" si="8"/>
        <v>8.9116247198772203E-3</v>
      </c>
      <c r="Y12" s="184">
        <f t="shared" si="9"/>
        <v>320.38592946473591</v>
      </c>
      <c r="Z12" s="172"/>
      <c r="AA12" s="185">
        <f t="shared" si="10"/>
        <v>8.9116247198772203E-3</v>
      </c>
      <c r="AB12" s="185">
        <f t="shared" si="11"/>
        <v>9.8027871918649426E-3</v>
      </c>
      <c r="AC12" s="185">
        <f t="shared" si="14"/>
        <v>8.0204622478894979E-3</v>
      </c>
      <c r="AD12" s="185"/>
      <c r="AE12" s="185"/>
      <c r="AF12" s="171"/>
      <c r="AG12" s="45"/>
    </row>
    <row r="13" spans="2:33" ht="13.8" thickBot="1">
      <c r="B13" s="41" t="s">
        <v>84</v>
      </c>
      <c r="C13" s="5">
        <v>32.565136000000003</v>
      </c>
      <c r="D13" s="32">
        <f t="shared" si="0"/>
        <v>336.62358533257179</v>
      </c>
      <c r="E13" s="33">
        <f t="shared" si="1"/>
        <v>11.751292999999997</v>
      </c>
      <c r="F13" s="33">
        <f t="shared" si="2"/>
        <v>38.440782499999997</v>
      </c>
      <c r="G13" s="34">
        <f t="shared" si="3"/>
        <v>0.30569858977246361</v>
      </c>
      <c r="H13" s="35">
        <f t="shared" si="4"/>
        <v>8.359479935191285E-3</v>
      </c>
      <c r="I13" s="36">
        <f t="shared" si="15"/>
        <v>-0.84005568004062692</v>
      </c>
      <c r="S13" s="179">
        <f t="shared" si="12"/>
        <v>338.67047540195085</v>
      </c>
      <c r="T13" s="180">
        <f t="shared" si="13"/>
        <v>33.150346248013896</v>
      </c>
      <c r="U13" s="181">
        <f t="shared" si="5"/>
        <v>12.082279948164732</v>
      </c>
      <c r="V13" s="181">
        <f t="shared" si="6"/>
        <v>39.191486222096259</v>
      </c>
      <c r="W13" s="182">
        <f t="shared" si="7"/>
        <v>0.30828838385191709</v>
      </c>
      <c r="X13" s="183">
        <f t="shared" si="8"/>
        <v>8.4302991419778865E-3</v>
      </c>
      <c r="Y13" s="184">
        <f t="shared" si="9"/>
        <v>356.9550213391658</v>
      </c>
      <c r="Z13" s="172"/>
      <c r="AA13" s="185">
        <f t="shared" si="10"/>
        <v>8.4302991419778865E-3</v>
      </c>
      <c r="AB13" s="185">
        <f t="shared" si="11"/>
        <v>9.2733290561756755E-3</v>
      </c>
      <c r="AC13" s="185">
        <f t="shared" si="14"/>
        <v>7.5872692277800984E-3</v>
      </c>
      <c r="AD13" s="185"/>
      <c r="AE13" s="185"/>
      <c r="AF13" s="171"/>
      <c r="AG13" s="45"/>
    </row>
    <row r="14" spans="2:33" ht="13.8" thickBot="1">
      <c r="B14" s="41" t="s">
        <v>85</v>
      </c>
      <c r="C14" s="5">
        <v>44.316428999999999</v>
      </c>
      <c r="D14" s="32">
        <f t="shared" si="0"/>
        <v>372.75192890641574</v>
      </c>
      <c r="E14" s="33">
        <f t="shared" si="1"/>
        <v>15.236514999999997</v>
      </c>
      <c r="F14" s="33">
        <f t="shared" si="2"/>
        <v>51.934686499999998</v>
      </c>
      <c r="G14" s="34">
        <f t="shared" si="3"/>
        <v>0.29337839557383288</v>
      </c>
      <c r="H14" s="35">
        <f t="shared" si="4"/>
        <v>8.0225780990468305E-3</v>
      </c>
      <c r="I14" s="36">
        <f t="shared" si="15"/>
        <v>-0.31946449701969915</v>
      </c>
      <c r="S14" s="179">
        <f t="shared" si="12"/>
        <v>375.2395672763808</v>
      </c>
      <c r="T14" s="180">
        <f t="shared" si="13"/>
        <v>45.232626196178629</v>
      </c>
      <c r="U14" s="181">
        <f t="shared" si="5"/>
        <v>15.60995540193499</v>
      </c>
      <c r="V14" s="181">
        <f t="shared" si="6"/>
        <v>53.037603897146127</v>
      </c>
      <c r="W14" s="182">
        <f t="shared" si="7"/>
        <v>0.29431863913397749</v>
      </c>
      <c r="X14" s="183">
        <f t="shared" si="8"/>
        <v>8.0482895267019981E-3</v>
      </c>
      <c r="Y14" s="184">
        <f t="shared" si="9"/>
        <v>393.5241132135958</v>
      </c>
      <c r="Z14" s="172"/>
      <c r="AA14" s="185">
        <f t="shared" si="10"/>
        <v>8.0482895267019981E-3</v>
      </c>
      <c r="AB14" s="185">
        <f t="shared" si="11"/>
        <v>8.8531184793721983E-3</v>
      </c>
      <c r="AC14" s="185">
        <f t="shared" si="14"/>
        <v>7.2434605740317988E-3</v>
      </c>
      <c r="AD14" s="185"/>
      <c r="AE14" s="185"/>
      <c r="AF14" s="171"/>
      <c r="AG14" s="45"/>
    </row>
    <row r="15" spans="2:33" ht="13.8" thickBot="1">
      <c r="B15" s="41" t="s">
        <v>86</v>
      </c>
      <c r="C15" s="5">
        <v>59.552943999999997</v>
      </c>
      <c r="D15" s="32">
        <f t="shared" si="0"/>
        <v>409.08558296510506</v>
      </c>
      <c r="E15" s="33">
        <f t="shared" si="1"/>
        <v>19.823993999999999</v>
      </c>
      <c r="F15" s="33">
        <f t="shared" si="2"/>
        <v>69.464940999999996</v>
      </c>
      <c r="G15" s="34">
        <f t="shared" si="3"/>
        <v>0.28538128320011097</v>
      </c>
      <c r="H15" s="35">
        <f t="shared" si="4"/>
        <v>7.8038930849047726E-3</v>
      </c>
      <c r="I15" s="36">
        <f t="shared" si="15"/>
        <v>0.80815279513167892</v>
      </c>
      <c r="S15" s="179">
        <f t="shared" si="12"/>
        <v>411.80865915081074</v>
      </c>
      <c r="T15" s="180">
        <f t="shared" si="13"/>
        <v>60.842581598113618</v>
      </c>
      <c r="U15" s="181">
        <f t="shared" si="5"/>
        <v>20.064151683970202</v>
      </c>
      <c r="V15" s="181">
        <f t="shared" si="6"/>
        <v>70.874657440098716</v>
      </c>
      <c r="W15" s="182">
        <f t="shared" si="7"/>
        <v>0.28309345552643922</v>
      </c>
      <c r="X15" s="183">
        <f t="shared" si="8"/>
        <v>7.741331299626438E-3</v>
      </c>
      <c r="Y15" s="184">
        <f t="shared" si="9"/>
        <v>430.09320508802568</v>
      </c>
      <c r="Z15" s="172"/>
      <c r="AA15" s="185">
        <f t="shared" si="10"/>
        <v>7.741331299626438E-3</v>
      </c>
      <c r="AB15" s="185">
        <f t="shared" si="11"/>
        <v>8.5154644295890817E-3</v>
      </c>
      <c r="AC15" s="185">
        <f t="shared" si="14"/>
        <v>6.9671981696637943E-3</v>
      </c>
      <c r="AD15" s="185"/>
      <c r="AE15" s="185"/>
      <c r="AF15" s="171"/>
      <c r="AG15" s="45"/>
    </row>
    <row r="16" spans="2:33" ht="13.8" thickBot="1">
      <c r="B16" s="41" t="s">
        <v>87</v>
      </c>
      <c r="C16" s="5">
        <v>79.376937999999996</v>
      </c>
      <c r="D16" s="32">
        <f t="shared" si="0"/>
        <v>445.86238387231259</v>
      </c>
      <c r="E16" s="33">
        <f t="shared" si="1"/>
        <v>25.358299000000002</v>
      </c>
      <c r="F16" s="33">
        <f t="shared" si="2"/>
        <v>92.05608749999999</v>
      </c>
      <c r="G16" s="34">
        <f t="shared" si="3"/>
        <v>0.27546574798760598</v>
      </c>
      <c r="H16" s="35">
        <f t="shared" si="4"/>
        <v>7.5327478443679629E-3</v>
      </c>
      <c r="I16" s="36">
        <f t="shared" si="15"/>
        <v>0.5392770274316061</v>
      </c>
      <c r="S16" s="179">
        <f t="shared" si="12"/>
        <v>448.37775102524068</v>
      </c>
      <c r="T16" s="180">
        <f t="shared" si="13"/>
        <v>80.90673328208382</v>
      </c>
      <c r="U16" s="181">
        <f t="shared" si="5"/>
        <v>25.686370773067964</v>
      </c>
      <c r="V16" s="181">
        <f t="shared" si="6"/>
        <v>93.749918668617795</v>
      </c>
      <c r="W16" s="182">
        <f t="shared" si="7"/>
        <v>0.27398819260700136</v>
      </c>
      <c r="X16" s="183">
        <f t="shared" si="8"/>
        <v>7.4923433578229261E-3</v>
      </c>
      <c r="Y16" s="184">
        <f t="shared" si="9"/>
        <v>466.66229696245568</v>
      </c>
      <c r="Z16" s="172"/>
      <c r="AA16" s="185">
        <f t="shared" si="10"/>
        <v>7.4923433578229261E-3</v>
      </c>
      <c r="AB16" s="185">
        <f t="shared" si="11"/>
        <v>8.2415776936052201E-3</v>
      </c>
      <c r="AC16" s="185">
        <f t="shared" si="14"/>
        <v>6.7431090220406338E-3</v>
      </c>
      <c r="AD16" s="185"/>
      <c r="AE16" s="185"/>
      <c r="AF16" s="171"/>
      <c r="AG16" s="45"/>
    </row>
    <row r="17" spans="2:33" ht="13.8" thickBot="1">
      <c r="B17" s="41" t="s">
        <v>88</v>
      </c>
      <c r="C17" s="5">
        <v>104.735237</v>
      </c>
      <c r="D17" s="32">
        <f t="shared" si="0"/>
        <v>482.56721723201304</v>
      </c>
      <c r="E17" s="33">
        <f t="shared" si="1"/>
        <v>33.018837000000005</v>
      </c>
      <c r="F17" s="33">
        <f t="shared" si="2"/>
        <v>121.24465549999999</v>
      </c>
      <c r="G17" s="34">
        <f t="shared" si="3"/>
        <v>0.272332309113617</v>
      </c>
      <c r="H17" s="35">
        <f t="shared" si="4"/>
        <v>7.4470624003665498E-3</v>
      </c>
      <c r="I17" s="36">
        <f t="shared" si="15"/>
        <v>2.168890663415366</v>
      </c>
      <c r="S17" s="179">
        <f t="shared" si="12"/>
        <v>484.94684289967063</v>
      </c>
      <c r="T17" s="180">
        <f t="shared" si="13"/>
        <v>106.59310405515178</v>
      </c>
      <c r="U17" s="181">
        <f t="shared" si="5"/>
        <v>32.781479747221724</v>
      </c>
      <c r="V17" s="181">
        <f t="shared" si="6"/>
        <v>122.98384392876264</v>
      </c>
      <c r="W17" s="182">
        <f t="shared" si="7"/>
        <v>0.26655110703980045</v>
      </c>
      <c r="X17" s="183">
        <f t="shared" si="8"/>
        <v>7.2889725551588021E-3</v>
      </c>
      <c r="Y17" s="184">
        <f t="shared" si="9"/>
        <v>503.23138883688557</v>
      </c>
      <c r="Z17" s="172"/>
      <c r="AA17" s="185">
        <f t="shared" si="10"/>
        <v>7.2889725551588021E-3</v>
      </c>
      <c r="AB17" s="185">
        <f t="shared" si="11"/>
        <v>8.0178698106746823E-3</v>
      </c>
      <c r="AC17" s="185">
        <f t="shared" si="14"/>
        <v>6.5600752996429219E-3</v>
      </c>
      <c r="AD17" s="185"/>
      <c r="AE17" s="185"/>
      <c r="AF17" s="171"/>
      <c r="AG17" s="45"/>
    </row>
    <row r="18" spans="2:33" ht="13.8" thickBot="1">
      <c r="B18" s="41" t="s">
        <v>89</v>
      </c>
      <c r="C18" s="5">
        <v>137.754074</v>
      </c>
      <c r="D18" s="32">
        <f t="shared" si="0"/>
        <v>519.90162129316627</v>
      </c>
      <c r="E18" s="33">
        <f t="shared" si="1"/>
        <v>42.07607999999999</v>
      </c>
      <c r="F18" s="33">
        <f t="shared" si="2"/>
        <v>158.792114</v>
      </c>
      <c r="G18" s="34">
        <f t="shared" si="3"/>
        <v>0.2649758790918294</v>
      </c>
      <c r="H18" s="35">
        <f t="shared" si="4"/>
        <v>7.2458971636948843E-3</v>
      </c>
      <c r="I18" s="36">
        <f t="shared" si="15"/>
        <v>1.7385541265801978</v>
      </c>
      <c r="S18" s="179">
        <f t="shared" si="12"/>
        <v>521.51593477410051</v>
      </c>
      <c r="T18" s="180">
        <f t="shared" si="13"/>
        <v>139.37458380237351</v>
      </c>
      <c r="U18" s="181">
        <f t="shared" si="5"/>
        <v>41.734662625723985</v>
      </c>
      <c r="V18" s="181">
        <f t="shared" si="6"/>
        <v>160.24191511523549</v>
      </c>
      <c r="W18" s="182">
        <f t="shared" si="7"/>
        <v>0.26044785220964906</v>
      </c>
      <c r="X18" s="183">
        <f t="shared" si="8"/>
        <v>7.1220760171996807E-3</v>
      </c>
      <c r="Y18" s="184">
        <f t="shared" si="9"/>
        <v>539.80048071131546</v>
      </c>
      <c r="Z18" s="172"/>
      <c r="AA18" s="185">
        <f t="shared" si="10"/>
        <v>7.1220760171996807E-3</v>
      </c>
      <c r="AB18" s="185">
        <f t="shared" si="11"/>
        <v>7.8342836189196491E-3</v>
      </c>
      <c r="AC18" s="185">
        <f t="shared" si="14"/>
        <v>6.4098684154797131E-3</v>
      </c>
      <c r="AD18" s="185"/>
      <c r="AE18" s="185"/>
      <c r="AF18" s="171"/>
      <c r="AG18" s="45"/>
    </row>
    <row r="19" spans="2:33" ht="13.8" thickBot="1">
      <c r="B19" s="41" t="s">
        <v>90</v>
      </c>
      <c r="C19" s="5">
        <v>179.83015399999999</v>
      </c>
      <c r="D19" s="32">
        <f t="shared" si="0"/>
        <v>557.09952808087814</v>
      </c>
      <c r="E19" s="33">
        <f t="shared" si="1"/>
        <v>53.497390999999993</v>
      </c>
      <c r="F19" s="33">
        <f t="shared" si="2"/>
        <v>206.57884949999999</v>
      </c>
      <c r="G19" s="34">
        <f t="shared" si="3"/>
        <v>0.25896838485393925</v>
      </c>
      <c r="H19" s="35">
        <f t="shared" si="4"/>
        <v>7.0816192467447296E-3</v>
      </c>
      <c r="I19" s="36">
        <f t="shared" si="15"/>
        <v>1.3868719531854266</v>
      </c>
      <c r="S19" s="179">
        <f t="shared" si="12"/>
        <v>558.0850266485304</v>
      </c>
      <c r="T19" s="180">
        <f t="shared" si="13"/>
        <v>181.10924642809749</v>
      </c>
      <c r="U19" s="181">
        <f t="shared" si="5"/>
        <v>53.033004979333072</v>
      </c>
      <c r="V19" s="181">
        <f t="shared" si="6"/>
        <v>207.62574891776404</v>
      </c>
      <c r="W19" s="182">
        <f t="shared" si="7"/>
        <v>0.25542595393762202</v>
      </c>
      <c r="X19" s="183">
        <f t="shared" si="8"/>
        <v>6.9847497119889549E-3</v>
      </c>
      <c r="Y19" s="184">
        <f t="shared" si="9"/>
        <v>576.36957258574535</v>
      </c>
      <c r="Z19" s="172"/>
      <c r="AA19" s="185">
        <f t="shared" si="10"/>
        <v>6.9847497119889549E-3</v>
      </c>
      <c r="AB19" s="185">
        <f t="shared" si="11"/>
        <v>7.6832246831878507E-3</v>
      </c>
      <c r="AC19" s="185">
        <f t="shared" si="14"/>
        <v>6.2862747407900592E-3</v>
      </c>
      <c r="AD19" s="185"/>
      <c r="AE19" s="185"/>
      <c r="AF19" s="171"/>
      <c r="AG19" s="45"/>
    </row>
    <row r="20" spans="2:33" ht="13.8" thickBot="1">
      <c r="B20" s="41" t="s">
        <v>91</v>
      </c>
      <c r="C20" s="5">
        <v>233.32754499999999</v>
      </c>
      <c r="D20" s="32">
        <f t="shared" si="0"/>
        <v>594.17749460517655</v>
      </c>
      <c r="E20" s="33">
        <f t="shared" si="1"/>
        <v>67.262454999999989</v>
      </c>
      <c r="F20" s="33">
        <f t="shared" si="2"/>
        <v>266.95877250000001</v>
      </c>
      <c r="G20" s="34">
        <f t="shared" si="3"/>
        <v>0.25195821201193147</v>
      </c>
      <c r="H20" s="35">
        <f t="shared" si="4"/>
        <v>6.8899225848183376E-3</v>
      </c>
      <c r="I20" s="36">
        <f t="shared" si="15"/>
        <v>0.26536341797052432</v>
      </c>
      <c r="S20" s="179">
        <f t="shared" si="12"/>
        <v>594.65411852296029</v>
      </c>
      <c r="T20" s="180">
        <f t="shared" si="13"/>
        <v>234.14225140743056</v>
      </c>
      <c r="U20" s="181">
        <f t="shared" si="5"/>
        <v>67.293004558897024</v>
      </c>
      <c r="V20" s="181">
        <f t="shared" si="6"/>
        <v>267.78875368687909</v>
      </c>
      <c r="W20" s="182">
        <f t="shared" si="7"/>
        <v>0.25129137662585194</v>
      </c>
      <c r="X20" s="183">
        <f t="shared" si="8"/>
        <v>6.8716876396255691E-3</v>
      </c>
      <c r="Y20" s="184">
        <f t="shared" si="9"/>
        <v>612.93866446017523</v>
      </c>
      <c r="Z20" s="172"/>
      <c r="AA20" s="185">
        <f t="shared" si="10"/>
        <v>6.8716876396255691E-3</v>
      </c>
      <c r="AB20" s="185">
        <f t="shared" si="11"/>
        <v>7.5588564035881265E-3</v>
      </c>
      <c r="AC20" s="185">
        <f t="shared" si="14"/>
        <v>6.1845188756630125E-3</v>
      </c>
      <c r="AD20" s="185"/>
      <c r="AE20" s="185"/>
      <c r="AF20" s="171"/>
      <c r="AG20" s="45"/>
    </row>
    <row r="21" spans="2:33" ht="13.8" thickBot="1">
      <c r="B21" s="41" t="s">
        <v>92</v>
      </c>
      <c r="C21" s="5">
        <v>300.58999999999997</v>
      </c>
      <c r="D21" s="32">
        <f t="shared" si="0"/>
        <v>630.84017310521904</v>
      </c>
      <c r="E21" s="33">
        <f t="shared" si="1"/>
        <v>86.087673000000052</v>
      </c>
      <c r="F21" s="33">
        <f t="shared" si="2"/>
        <v>343.63383650000003</v>
      </c>
      <c r="G21" s="34">
        <f t="shared" si="3"/>
        <v>0.25052152569381814</v>
      </c>
      <c r="H21" s="35">
        <f t="shared" si="4"/>
        <v>6.8506356831078271E-3</v>
      </c>
      <c r="I21" s="36">
        <f t="shared" si="15"/>
        <v>1.1157982217878635</v>
      </c>
      <c r="S21" s="179">
        <f t="shared" si="12"/>
        <v>631.22321039739018</v>
      </c>
      <c r="T21" s="180">
        <f t="shared" si="13"/>
        <v>301.43525596632759</v>
      </c>
      <c r="U21" s="181">
        <f t="shared" si="5"/>
        <v>85.242417033672439</v>
      </c>
      <c r="V21" s="181">
        <f t="shared" si="6"/>
        <v>344.05646448316384</v>
      </c>
      <c r="W21" s="182">
        <f t="shared" si="7"/>
        <v>0.2477570568590311</v>
      </c>
      <c r="X21" s="183">
        <f t="shared" si="8"/>
        <v>6.7750399082857566E-3</v>
      </c>
      <c r="Y21" s="184">
        <f t="shared" si="9"/>
        <v>649.50775633460512</v>
      </c>
      <c r="Z21" s="172"/>
      <c r="AA21" s="185">
        <f t="shared" si="10"/>
        <v>6.7750399082857566E-3</v>
      </c>
      <c r="AB21" s="185">
        <f t="shared" si="11"/>
        <v>7.4525438991143332E-3</v>
      </c>
      <c r="AC21" s="185">
        <f t="shared" si="14"/>
        <v>6.0975359174571808E-3</v>
      </c>
      <c r="AD21" s="185"/>
      <c r="AE21" s="185"/>
      <c r="AF21" s="171"/>
      <c r="AG21" s="45"/>
    </row>
    <row r="22" spans="2:33" ht="13.8" thickBot="1">
      <c r="B22" s="42" t="s">
        <v>93</v>
      </c>
      <c r="C22" s="5">
        <v>386.67767300000003</v>
      </c>
      <c r="D22" s="37">
        <f>71.498068+94.593053*LOG(C22)+41.912053*(LOG(C22))^2+9.8247004*(LOG(C22))^3+0.28175407*(LOG(C22))^4-1.1878455*(LOG(C22))^5-0.18014349*(LOG(C22))^6+0.14710899*(LOG(C22))^7-0.017046845*(LOG(C22))^8</f>
        <v>667.79230227182006</v>
      </c>
      <c r="E22" s="38"/>
      <c r="F22" s="38"/>
      <c r="G22" s="39"/>
      <c r="H22" s="43"/>
      <c r="I22" s="44"/>
      <c r="S22" s="179">
        <f>D22</f>
        <v>667.79230227182006</v>
      </c>
      <c r="T22" s="180">
        <f>C22</f>
        <v>386.67767300000003</v>
      </c>
      <c r="U22" s="181"/>
      <c r="V22" s="186"/>
      <c r="W22" s="182"/>
      <c r="X22" s="186"/>
      <c r="Y22" s="187"/>
      <c r="Z22" s="172"/>
      <c r="AA22" s="175"/>
      <c r="AB22" s="181"/>
      <c r="AC22" s="188"/>
      <c r="AD22" s="181"/>
      <c r="AE22" s="189"/>
      <c r="AF22" s="171"/>
      <c r="AG22" s="45"/>
    </row>
    <row r="23" spans="2:33">
      <c r="H23" s="9" t="s">
        <v>95</v>
      </c>
      <c r="I23" s="46">
        <f>IF(ABS(MAX(I5:I21))&lt;ABS(MIN(I5:I21)),MIN(I5:I21),MAX(I5:I21))</f>
        <v>-3.1948771568091319</v>
      </c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1"/>
      <c r="AG23" s="45"/>
    </row>
    <row r="24" spans="2:33">
      <c r="C24" s="10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1"/>
      <c r="AG24" s="45"/>
    </row>
    <row r="25" spans="2:33" s="15" customFormat="1"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</row>
    <row r="26" spans="2:33" s="15" customFormat="1">
      <c r="B26" s="16"/>
      <c r="C26" s="16"/>
      <c r="D26" s="16"/>
      <c r="E26" s="16"/>
      <c r="F26" s="16"/>
      <c r="G26" s="16"/>
      <c r="H26" s="16"/>
      <c r="I26" s="17"/>
      <c r="J26" s="17"/>
      <c r="K26" s="17"/>
      <c r="L26" s="18"/>
    </row>
    <row r="27" spans="2:33" s="15" customFormat="1">
      <c r="C27" s="19"/>
      <c r="D27" s="20"/>
      <c r="E27" s="19"/>
      <c r="F27" s="19"/>
      <c r="G27" s="21"/>
      <c r="H27" s="22"/>
      <c r="I27" s="22"/>
      <c r="J27" s="22"/>
      <c r="K27" s="22"/>
      <c r="L27" s="22"/>
    </row>
    <row r="28" spans="2:33" s="15" customFormat="1">
      <c r="C28" s="19"/>
      <c r="D28" s="20"/>
      <c r="E28" s="19"/>
      <c r="F28" s="19"/>
      <c r="G28" s="21"/>
      <c r="H28" s="22"/>
      <c r="I28" s="22"/>
      <c r="J28" s="22"/>
      <c r="K28" s="22"/>
      <c r="L28" s="22"/>
      <c r="M28" s="23"/>
    </row>
    <row r="29" spans="2:33" s="15" customFormat="1">
      <c r="C29" s="19"/>
      <c r="D29" s="20"/>
      <c r="E29" s="19"/>
      <c r="F29" s="19"/>
      <c r="G29" s="21"/>
      <c r="H29" s="22"/>
      <c r="I29" s="22"/>
      <c r="J29" s="22"/>
      <c r="K29" s="22"/>
      <c r="L29" s="22"/>
    </row>
    <row r="30" spans="2:33" s="15" customFormat="1">
      <c r="C30" s="19"/>
      <c r="D30" s="20"/>
      <c r="E30" s="19"/>
      <c r="F30" s="19"/>
      <c r="G30" s="21"/>
      <c r="H30" s="22"/>
      <c r="I30" s="22"/>
      <c r="J30" s="22"/>
      <c r="K30" s="22"/>
      <c r="L30" s="22"/>
    </row>
    <row r="31" spans="2:33" s="15" customFormat="1">
      <c r="C31" s="19"/>
      <c r="D31" s="20"/>
      <c r="E31" s="19"/>
      <c r="F31" s="19"/>
      <c r="G31" s="21"/>
      <c r="H31" s="22"/>
      <c r="I31" s="22"/>
      <c r="J31" s="22"/>
      <c r="K31" s="22"/>
      <c r="L31" s="22"/>
    </row>
    <row r="32" spans="2:33" s="15" customFormat="1">
      <c r="C32" s="19"/>
      <c r="D32" s="20"/>
      <c r="E32" s="19"/>
      <c r="F32" s="19"/>
      <c r="G32" s="21"/>
      <c r="H32" s="22"/>
      <c r="I32" s="22"/>
      <c r="J32" s="22"/>
      <c r="K32" s="22"/>
      <c r="L32" s="22"/>
    </row>
    <row r="33" spans="3:12" s="15" customFormat="1">
      <c r="C33" s="19"/>
      <c r="D33" s="20"/>
      <c r="E33" s="19"/>
      <c r="F33" s="19"/>
      <c r="G33" s="21"/>
      <c r="H33" s="22"/>
      <c r="I33" s="22"/>
      <c r="J33" s="22"/>
      <c r="K33" s="22"/>
      <c r="L33" s="22"/>
    </row>
    <row r="34" spans="3:12" s="15" customFormat="1">
      <c r="C34" s="19"/>
      <c r="D34" s="20"/>
      <c r="E34" s="19"/>
      <c r="F34" s="19"/>
      <c r="G34" s="21"/>
      <c r="H34" s="22"/>
      <c r="I34" s="22"/>
      <c r="J34" s="22"/>
      <c r="K34" s="22"/>
      <c r="L34" s="22"/>
    </row>
    <row r="35" spans="3:12" s="15" customFormat="1">
      <c r="C35" s="19"/>
      <c r="D35" s="20"/>
      <c r="E35" s="19"/>
      <c r="F35" s="19"/>
      <c r="G35" s="21"/>
      <c r="H35" s="22"/>
      <c r="I35" s="22"/>
      <c r="J35" s="22"/>
      <c r="K35" s="22"/>
      <c r="L35" s="22"/>
    </row>
    <row r="36" spans="3:12" s="15" customFormat="1">
      <c r="C36" s="19"/>
      <c r="D36" s="20"/>
      <c r="E36" s="19"/>
      <c r="F36" s="19"/>
      <c r="G36" s="21"/>
      <c r="H36" s="22"/>
      <c r="I36" s="22"/>
      <c r="J36" s="22"/>
      <c r="K36" s="22"/>
      <c r="L36" s="22"/>
    </row>
    <row r="37" spans="3:12" s="15" customFormat="1">
      <c r="C37" s="19"/>
      <c r="D37" s="20"/>
      <c r="E37" s="19"/>
      <c r="F37" s="19"/>
      <c r="G37" s="21"/>
      <c r="H37" s="22"/>
      <c r="I37" s="22"/>
      <c r="J37" s="22"/>
      <c r="K37" s="22"/>
      <c r="L37" s="22"/>
    </row>
    <row r="38" spans="3:12" s="15" customFormat="1">
      <c r="C38" s="19"/>
      <c r="D38" s="20"/>
      <c r="E38" s="19"/>
      <c r="F38" s="19"/>
      <c r="G38" s="21"/>
      <c r="H38" s="22"/>
      <c r="I38" s="22"/>
      <c r="J38" s="22"/>
      <c r="K38" s="22"/>
      <c r="L38" s="22"/>
    </row>
    <row r="39" spans="3:12" s="15" customFormat="1">
      <c r="C39" s="19"/>
      <c r="D39" s="20"/>
      <c r="E39" s="19"/>
      <c r="F39" s="19"/>
      <c r="G39" s="21"/>
      <c r="H39" s="22"/>
      <c r="I39" s="22"/>
      <c r="J39" s="22"/>
      <c r="K39" s="22"/>
      <c r="L39" s="22"/>
    </row>
    <row r="40" spans="3:12" s="15" customFormat="1">
      <c r="C40" s="19"/>
      <c r="D40" s="20"/>
      <c r="E40" s="19"/>
      <c r="F40" s="19"/>
      <c r="G40" s="21"/>
      <c r="H40" s="22"/>
      <c r="I40" s="22"/>
      <c r="J40" s="22"/>
      <c r="K40" s="22"/>
      <c r="L40" s="22"/>
    </row>
    <row r="41" spans="3:12" s="15" customFormat="1">
      <c r="C41" s="19"/>
      <c r="D41" s="20"/>
      <c r="E41" s="19"/>
      <c r="F41" s="19"/>
      <c r="G41" s="21"/>
      <c r="H41" s="22"/>
      <c r="I41" s="22"/>
      <c r="J41" s="22"/>
      <c r="K41" s="22"/>
      <c r="L41" s="22"/>
    </row>
    <row r="42" spans="3:12" s="15" customFormat="1">
      <c r="C42" s="19"/>
      <c r="D42" s="20"/>
      <c r="E42" s="19"/>
      <c r="F42" s="19"/>
      <c r="G42" s="21"/>
      <c r="H42" s="22"/>
      <c r="I42" s="22"/>
      <c r="J42" s="22"/>
      <c r="K42" s="22"/>
      <c r="L42" s="22"/>
    </row>
    <row r="43" spans="3:12" s="15" customFormat="1">
      <c r="C43" s="19"/>
      <c r="D43" s="20"/>
      <c r="E43" s="19"/>
      <c r="F43" s="19"/>
      <c r="G43" s="21"/>
      <c r="H43" s="22"/>
      <c r="I43" s="22"/>
      <c r="J43" s="22"/>
      <c r="K43" s="22"/>
      <c r="L43" s="22"/>
    </row>
    <row r="44" spans="3:12" s="15" customFormat="1">
      <c r="C44" s="19"/>
      <c r="D44" s="20"/>
      <c r="E44" s="19"/>
      <c r="F44" s="19"/>
      <c r="G44" s="21"/>
      <c r="I44" s="22"/>
      <c r="J44" s="22"/>
      <c r="K44" s="22"/>
      <c r="L44" s="22"/>
    </row>
    <row r="45" spans="3:12" s="15" customFormat="1"/>
    <row r="46" spans="3:12" s="15" customFormat="1"/>
    <row r="47" spans="3:12" s="15" customFormat="1"/>
  </sheetData>
  <sheetProtection password="C97F" sheet="1" objects="1" scenarios="1"/>
  <mergeCells count="1">
    <mergeCell ref="J2:K2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scale="85" orientation="landscape" horizontalDpi="300" verticalDpi="3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12"/>
  <sheetViews>
    <sheetView workbookViewId="0">
      <selection activeCell="B19" sqref="B19"/>
    </sheetView>
  </sheetViews>
  <sheetFormatPr defaultColWidth="9" defaultRowHeight="13.2"/>
  <cols>
    <col min="1" max="1" width="2.33203125" style="3" customWidth="1"/>
    <col min="2" max="2" width="16.77734375" style="3" customWidth="1"/>
    <col min="3" max="3" width="9" style="3"/>
    <col min="4" max="32" width="2.33203125" style="3" customWidth="1"/>
    <col min="33" max="16384" width="9" style="3"/>
  </cols>
  <sheetData>
    <row r="1" spans="2:31" ht="13.8" thickBot="1"/>
    <row r="2" spans="2:31" ht="13.8" thickBot="1">
      <c r="B2" s="2"/>
      <c r="AA2" s="159" t="s">
        <v>37</v>
      </c>
      <c r="AB2" s="170"/>
      <c r="AC2" s="170"/>
      <c r="AD2" s="170"/>
      <c r="AE2" s="160"/>
    </row>
    <row r="3" spans="2:31">
      <c r="B3" s="2" t="s">
        <v>111</v>
      </c>
    </row>
    <row r="4" spans="2:31">
      <c r="E4" s="2" t="s">
        <v>31</v>
      </c>
    </row>
    <row r="5" spans="2:31">
      <c r="B5" s="8" t="s">
        <v>0</v>
      </c>
      <c r="C5" s="12">
        <f>コントラスト応答!C22</f>
        <v>386.67767300000003</v>
      </c>
      <c r="D5" s="4"/>
      <c r="E5" s="47"/>
      <c r="F5" s="48"/>
      <c r="G5" s="48"/>
      <c r="H5" s="48"/>
      <c r="I5" s="48"/>
      <c r="J5" s="49"/>
      <c r="K5" s="4"/>
      <c r="L5" s="47"/>
      <c r="M5" s="48"/>
      <c r="N5" s="48"/>
      <c r="O5" s="48"/>
      <c r="P5" s="48"/>
      <c r="Q5" s="49"/>
      <c r="S5" s="47"/>
      <c r="T5" s="48"/>
      <c r="U5" s="48"/>
      <c r="V5" s="48"/>
      <c r="W5" s="48"/>
      <c r="X5" s="49"/>
      <c r="Z5" s="47"/>
      <c r="AA5" s="48"/>
      <c r="AB5" s="48"/>
      <c r="AC5" s="48"/>
      <c r="AD5" s="48"/>
      <c r="AE5" s="49"/>
    </row>
    <row r="6" spans="2:31">
      <c r="B6" s="8" t="s">
        <v>94</v>
      </c>
      <c r="C6" s="12">
        <f>((C7-C8)/C8)*100</f>
        <v>6.0314646095431454</v>
      </c>
      <c r="D6" s="4"/>
      <c r="E6" s="50"/>
      <c r="F6" s="161" t="s">
        <v>32</v>
      </c>
      <c r="G6" s="161"/>
      <c r="H6" s="161"/>
      <c r="I6" s="161"/>
      <c r="J6" s="51"/>
      <c r="K6" s="4"/>
      <c r="L6" s="50"/>
      <c r="M6" s="161" t="s">
        <v>29</v>
      </c>
      <c r="N6" s="161"/>
      <c r="O6" s="161"/>
      <c r="P6" s="161"/>
      <c r="Q6" s="51"/>
      <c r="S6" s="50"/>
      <c r="T6" s="161" t="s">
        <v>30</v>
      </c>
      <c r="U6" s="161"/>
      <c r="V6" s="161"/>
      <c r="W6" s="161"/>
      <c r="X6" s="51"/>
      <c r="Z6" s="50"/>
      <c r="AA6" s="161" t="s">
        <v>58</v>
      </c>
      <c r="AB6" s="161"/>
      <c r="AC6" s="161"/>
      <c r="AD6" s="161"/>
      <c r="AE6" s="51"/>
    </row>
    <row r="7" spans="2:31" ht="16.2" thickBot="1">
      <c r="B7" s="8" t="s">
        <v>112</v>
      </c>
      <c r="C7" s="12">
        <f>MAX(G8,N8,U8,AB8)</f>
        <v>410</v>
      </c>
      <c r="D7" s="4"/>
      <c r="E7" s="50"/>
      <c r="F7" s="52"/>
      <c r="G7" s="52"/>
      <c r="H7" s="52"/>
      <c r="I7" s="52"/>
      <c r="J7" s="51"/>
      <c r="K7" s="4"/>
      <c r="L7" s="50"/>
      <c r="M7" s="52"/>
      <c r="N7" s="52"/>
      <c r="O7" s="52"/>
      <c r="P7" s="52"/>
      <c r="Q7" s="51"/>
      <c r="S7" s="50"/>
      <c r="T7" s="52"/>
      <c r="U7" s="52"/>
      <c r="V7" s="52"/>
      <c r="W7" s="52"/>
      <c r="X7" s="51"/>
      <c r="Z7" s="50"/>
      <c r="AA7" s="52"/>
      <c r="AB7" s="52"/>
      <c r="AC7" s="52"/>
      <c r="AD7" s="52"/>
      <c r="AE7" s="51"/>
    </row>
    <row r="8" spans="2:31" ht="15.6">
      <c r="B8" s="8" t="s">
        <v>113</v>
      </c>
      <c r="C8" s="12">
        <f>MIN(G8,N8,U8,AB8)</f>
        <v>386.67767300000003</v>
      </c>
      <c r="D8" s="4"/>
      <c r="E8" s="50"/>
      <c r="F8" s="52"/>
      <c r="G8" s="162">
        <f>コントラスト応答!C22</f>
        <v>386.67767300000003</v>
      </c>
      <c r="H8" s="163"/>
      <c r="I8" s="52"/>
      <c r="J8" s="51"/>
      <c r="K8" s="4"/>
      <c r="L8" s="50"/>
      <c r="M8" s="52"/>
      <c r="N8" s="166">
        <v>410</v>
      </c>
      <c r="O8" s="167"/>
      <c r="P8" s="52"/>
      <c r="Q8" s="51"/>
      <c r="S8" s="50"/>
      <c r="T8" s="52"/>
      <c r="U8" s="166"/>
      <c r="V8" s="167"/>
      <c r="W8" s="52"/>
      <c r="X8" s="51"/>
      <c r="Z8" s="50"/>
      <c r="AA8" s="52"/>
      <c r="AB8" s="166"/>
      <c r="AC8" s="167"/>
      <c r="AD8" s="52"/>
      <c r="AE8" s="51"/>
    </row>
    <row r="9" spans="2:31" ht="13.8" thickBot="1">
      <c r="B9" s="8" t="s">
        <v>44</v>
      </c>
      <c r="C9" s="13">
        <f>コントラスト応答!C22/コントラスト応答!C5</f>
        <v>784.3551425186821</v>
      </c>
      <c r="D9" s="4"/>
      <c r="E9" s="50"/>
      <c r="F9" s="52"/>
      <c r="G9" s="164"/>
      <c r="H9" s="165"/>
      <c r="I9" s="52"/>
      <c r="J9" s="51"/>
      <c r="K9" s="4"/>
      <c r="L9" s="50"/>
      <c r="M9" s="52"/>
      <c r="N9" s="168"/>
      <c r="O9" s="169"/>
      <c r="P9" s="52"/>
      <c r="Q9" s="51"/>
      <c r="S9" s="50"/>
      <c r="T9" s="52"/>
      <c r="U9" s="168"/>
      <c r="V9" s="169"/>
      <c r="W9" s="52"/>
      <c r="X9" s="51"/>
      <c r="Z9" s="50"/>
      <c r="AA9" s="52"/>
      <c r="AB9" s="168"/>
      <c r="AC9" s="169"/>
      <c r="AD9" s="52"/>
      <c r="AE9" s="51"/>
    </row>
    <row r="10" spans="2:31" ht="13.8" thickBot="1">
      <c r="B10" s="14" t="s">
        <v>41</v>
      </c>
      <c r="C10" s="5">
        <v>410</v>
      </c>
      <c r="D10" s="4"/>
      <c r="E10" s="50"/>
      <c r="F10" s="52"/>
      <c r="G10" s="52"/>
      <c r="H10" s="52"/>
      <c r="I10" s="52"/>
      <c r="J10" s="51"/>
      <c r="K10" s="4"/>
      <c r="L10" s="50"/>
      <c r="M10" s="52"/>
      <c r="N10" s="52"/>
      <c r="O10" s="52"/>
      <c r="P10" s="52"/>
      <c r="Q10" s="51"/>
      <c r="S10" s="50"/>
      <c r="T10" s="52"/>
      <c r="U10" s="52"/>
      <c r="V10" s="52"/>
      <c r="W10" s="52"/>
      <c r="X10" s="51"/>
      <c r="Z10" s="50"/>
      <c r="AA10" s="52"/>
      <c r="AB10" s="52"/>
      <c r="AC10" s="52"/>
      <c r="AD10" s="52"/>
      <c r="AE10" s="51"/>
    </row>
    <row r="11" spans="2:31">
      <c r="B11" s="7"/>
      <c r="C11" s="4"/>
      <c r="D11" s="4"/>
      <c r="E11" s="50"/>
      <c r="F11" s="52"/>
      <c r="G11" s="52"/>
      <c r="H11" s="52"/>
      <c r="I11" s="52"/>
      <c r="J11" s="51"/>
      <c r="K11" s="4"/>
      <c r="L11" s="50"/>
      <c r="M11" s="52"/>
      <c r="N11" s="52"/>
      <c r="O11" s="52"/>
      <c r="P11" s="52"/>
      <c r="Q11" s="51"/>
      <c r="S11" s="50"/>
      <c r="T11" s="52"/>
      <c r="U11" s="52"/>
      <c r="V11" s="52"/>
      <c r="W11" s="52"/>
      <c r="X11" s="51"/>
      <c r="Z11" s="50"/>
      <c r="AA11" s="52"/>
      <c r="AB11" s="52"/>
      <c r="AC11" s="52"/>
      <c r="AD11" s="52"/>
      <c r="AE11" s="51"/>
    </row>
    <row r="12" spans="2:31">
      <c r="D12" s="4"/>
      <c r="E12" s="53"/>
      <c r="F12" s="54"/>
      <c r="G12" s="54"/>
      <c r="H12" s="54"/>
      <c r="I12" s="54"/>
      <c r="J12" s="55"/>
      <c r="K12" s="4"/>
      <c r="L12" s="53"/>
      <c r="M12" s="54"/>
      <c r="N12" s="54"/>
      <c r="O12" s="54"/>
      <c r="P12" s="54"/>
      <c r="Q12" s="55"/>
      <c r="S12" s="53"/>
      <c r="T12" s="54"/>
      <c r="U12" s="54"/>
      <c r="V12" s="54"/>
      <c r="W12" s="54"/>
      <c r="X12" s="55"/>
      <c r="Z12" s="53"/>
      <c r="AA12" s="54"/>
      <c r="AB12" s="54"/>
      <c r="AC12" s="54"/>
      <c r="AD12" s="54"/>
      <c r="AE12" s="55"/>
    </row>
  </sheetData>
  <sheetProtection password="C97F" sheet="1" objects="1" scenarios="1"/>
  <mergeCells count="9">
    <mergeCell ref="F6:I6"/>
    <mergeCell ref="G8:H9"/>
    <mergeCell ref="N8:O9"/>
    <mergeCell ref="U8:V9"/>
    <mergeCell ref="AA2:AE2"/>
    <mergeCell ref="AA6:AD6"/>
    <mergeCell ref="T6:W6"/>
    <mergeCell ref="M6:P6"/>
    <mergeCell ref="AB8:AC9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orientation="landscape" horizontalDpi="720" verticalDpi="72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H44" sqref="H44"/>
    </sheetView>
  </sheetViews>
  <sheetFormatPr defaultRowHeight="13.2"/>
  <cols>
    <col min="1" max="1" width="10.21875" bestFit="1" customWidth="1"/>
    <col min="6" max="7" width="9" style="11"/>
  </cols>
  <sheetData>
    <row r="1" spans="1:7">
      <c r="B1" t="s">
        <v>68</v>
      </c>
      <c r="C1" t="s">
        <v>69</v>
      </c>
      <c r="D1" t="s">
        <v>71</v>
      </c>
      <c r="E1" t="s">
        <v>102</v>
      </c>
      <c r="F1" s="11" t="s">
        <v>102</v>
      </c>
      <c r="G1" s="11" t="s">
        <v>102</v>
      </c>
    </row>
    <row r="2" spans="1:7">
      <c r="A2" t="s">
        <v>66</v>
      </c>
      <c r="B2" s="57" t="s">
        <v>63</v>
      </c>
      <c r="C2" s="57" t="s">
        <v>62</v>
      </c>
      <c r="D2" s="56" t="s">
        <v>25</v>
      </c>
      <c r="E2" s="59">
        <v>10</v>
      </c>
      <c r="F2" s="59">
        <v>350</v>
      </c>
      <c r="G2" s="59">
        <v>250</v>
      </c>
    </row>
    <row r="3" spans="1:7">
      <c r="A3" t="s">
        <v>67</v>
      </c>
      <c r="B3" s="57" t="s">
        <v>61</v>
      </c>
      <c r="C3" s="57" t="s">
        <v>60</v>
      </c>
      <c r="D3" s="56" t="s">
        <v>25</v>
      </c>
      <c r="E3" s="59">
        <v>15</v>
      </c>
      <c r="F3" s="59">
        <v>170</v>
      </c>
      <c r="G3" s="59">
        <v>250</v>
      </c>
    </row>
    <row r="4" spans="1:7">
      <c r="A4" t="s">
        <v>65</v>
      </c>
      <c r="B4" s="56" t="s">
        <v>22</v>
      </c>
      <c r="C4" s="56" t="s">
        <v>21</v>
      </c>
      <c r="D4" s="56" t="s">
        <v>21</v>
      </c>
      <c r="E4" s="59">
        <v>30</v>
      </c>
      <c r="F4" s="59">
        <v>100</v>
      </c>
      <c r="G4" s="59">
        <v>100</v>
      </c>
    </row>
    <row r="47" spans="6:6">
      <c r="F47" s="11" t="s">
        <v>101</v>
      </c>
    </row>
  </sheetData>
  <sheetProtection password="C97F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不変性試験</vt:lpstr>
      <vt:lpstr>コントラスト応答</vt:lpstr>
      <vt:lpstr>最大輝度</vt:lpstr>
      <vt:lpstr>グレードパラメータ</vt:lpstr>
      <vt:lpstr>不変性試験!_ftn1</vt:lpstr>
      <vt:lpstr>不変性試験!_ftnref1</vt:lpstr>
      <vt:lpstr>不変性試験!OLE_LINK1</vt:lpstr>
      <vt:lpstr>コントラスト応答!Print_Area</vt:lpstr>
      <vt:lpstr>最大輝度!Print_Area</vt:lpstr>
      <vt:lpstr>不変性試験!Print_Area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安田 哲也</cp:lastModifiedBy>
  <cp:lastPrinted>2017-07-10T11:13:46Z</cp:lastPrinted>
  <dcterms:created xsi:type="dcterms:W3CDTF">2005-08-08T19:57:25Z</dcterms:created>
  <dcterms:modified xsi:type="dcterms:W3CDTF">2017-07-10T11:34:11Z</dcterms:modified>
</cp:coreProperties>
</file>