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348" yWindow="-12" windowWidth="15384" windowHeight="13968"/>
  </bookViews>
  <sheets>
    <sheet name="受入試験" sheetId="10" r:id="rId1"/>
    <sheet name="輝度均一性" sheetId="3" r:id="rId2"/>
    <sheet name="コントラスト応答" sheetId="5" r:id="rId3"/>
    <sheet name="最大輝度" sheetId="7" r:id="rId4"/>
    <sheet name="色度" sheetId="6" r:id="rId5"/>
    <sheet name="グレードパラメータ" sheetId="9" r:id="rId6"/>
  </sheets>
  <definedNames>
    <definedName name="_xlnm._FilterDatabase" localSheetId="0" hidden="1">受入試験!$B$5:$H$28</definedName>
    <definedName name="_ftn1" localSheetId="0">受入試験!$B$30</definedName>
    <definedName name="_ftnref1" localSheetId="0">受入試験!$H$24</definedName>
    <definedName name="OLE_LINK1" localSheetId="0">受入試験!$F$19</definedName>
    <definedName name="_xlnm.Print_Area" localSheetId="2">コントラスト応答!$A$3:$Q$24</definedName>
    <definedName name="_xlnm.Print_Area" localSheetId="1">輝度均一性!$A$1:$Y$28</definedName>
    <definedName name="_xlnm.Print_Area" localSheetId="3">最大輝度!$A$1:$AF$13</definedName>
    <definedName name="_xlnm.Print_Area" localSheetId="0">受入試験!$B$4:$H$28</definedName>
    <definedName name="_xlnm.Print_Area" localSheetId="4">色度!$A$1:$BB$45</definedName>
  </definedNames>
  <calcPr calcId="145621" calcOnSave="0"/>
</workbook>
</file>

<file path=xl/calcChain.xml><?xml version="1.0" encoding="utf-8"?>
<calcChain xmlns="http://schemas.openxmlformats.org/spreadsheetml/2006/main">
  <c r="AC4" i="5" l="1"/>
  <c r="AC9" i="5" s="1"/>
  <c r="AB4" i="5"/>
  <c r="AB9" i="5" s="1"/>
  <c r="AC16" i="5" l="1"/>
  <c r="AC5" i="5"/>
  <c r="AC12" i="5"/>
  <c r="AC10" i="5"/>
  <c r="AC19" i="5"/>
  <c r="AC11" i="5"/>
  <c r="AC17" i="5"/>
  <c r="AC8" i="5"/>
  <c r="AB20" i="5"/>
  <c r="AC21" i="5"/>
  <c r="AC13" i="5"/>
  <c r="AC7" i="5"/>
  <c r="AC20" i="5"/>
  <c r="AC15" i="5"/>
  <c r="AC6" i="5"/>
  <c r="AC18" i="5"/>
  <c r="AC14" i="5"/>
  <c r="AB19" i="5"/>
  <c r="AB11" i="5"/>
  <c r="AB16" i="5"/>
  <c r="AB10" i="5"/>
  <c r="AB14" i="5"/>
  <c r="AB6" i="5"/>
  <c r="AB5" i="5"/>
  <c r="AB15" i="5"/>
  <c r="AB8" i="5"/>
  <c r="AB18" i="5"/>
  <c r="AB12" i="5"/>
  <c r="AB7" i="5"/>
  <c r="AB21" i="5"/>
  <c r="AB17" i="5"/>
  <c r="AB13" i="5"/>
  <c r="C5" i="7"/>
  <c r="AV32" i="6" l="1"/>
  <c r="I23" i="5"/>
  <c r="AD36" i="6"/>
  <c r="D26" i="10" l="1"/>
  <c r="H27" i="10" s="1"/>
  <c r="C9" i="7"/>
  <c r="H25" i="10" s="1"/>
  <c r="H23" i="10"/>
  <c r="H22" i="10"/>
  <c r="H21" i="10"/>
  <c r="D27" i="10"/>
  <c r="D25" i="10"/>
  <c r="D23" i="10"/>
  <c r="D22" i="10"/>
  <c r="H26" i="10" l="1"/>
  <c r="D22" i="5"/>
  <c r="D5" i="5"/>
  <c r="S5" i="5"/>
  <c r="S6" i="5"/>
  <c r="S22" i="5"/>
  <c r="T22" i="5"/>
  <c r="T5" i="5"/>
  <c r="Y5" i="5"/>
  <c r="E8" i="5"/>
  <c r="F8" i="5"/>
  <c r="G8" i="5"/>
  <c r="H8" i="5"/>
  <c r="E9" i="5"/>
  <c r="F9" i="5"/>
  <c r="G9" i="5"/>
  <c r="H9" i="5"/>
  <c r="E10" i="5"/>
  <c r="F10" i="5"/>
  <c r="E11" i="5"/>
  <c r="E12" i="5"/>
  <c r="F12" i="5"/>
  <c r="G12" i="5"/>
  <c r="H12" i="5"/>
  <c r="E13" i="5"/>
  <c r="F13" i="5"/>
  <c r="G13" i="5"/>
  <c r="H13" i="5"/>
  <c r="E14" i="5"/>
  <c r="F14" i="5"/>
  <c r="E15" i="5"/>
  <c r="E16" i="5"/>
  <c r="F16" i="5"/>
  <c r="G16" i="5"/>
  <c r="H16" i="5"/>
  <c r="E17" i="5"/>
  <c r="F17" i="5"/>
  <c r="G17" i="5"/>
  <c r="H17" i="5"/>
  <c r="E18" i="5"/>
  <c r="F18" i="5"/>
  <c r="E19" i="5"/>
  <c r="E20" i="5"/>
  <c r="F20" i="5"/>
  <c r="G20" i="5"/>
  <c r="H20" i="5"/>
  <c r="E21" i="5"/>
  <c r="F21" i="5"/>
  <c r="G21" i="5"/>
  <c r="H21" i="5"/>
  <c r="E7" i="5"/>
  <c r="F7" i="5"/>
  <c r="E6" i="5"/>
  <c r="E5" i="5"/>
  <c r="F5" i="5"/>
  <c r="G5" i="5"/>
  <c r="H5" i="5"/>
  <c r="AD18" i="6"/>
  <c r="AD19" i="6"/>
  <c r="AD20" i="6"/>
  <c r="AD21" i="6"/>
  <c r="AD22" i="6"/>
  <c r="AD23" i="6"/>
  <c r="R26" i="3"/>
  <c r="R25" i="3"/>
  <c r="R27" i="3"/>
  <c r="AG18" i="6"/>
  <c r="AG19" i="6"/>
  <c r="AG20" i="6"/>
  <c r="AG21" i="6"/>
  <c r="AG22" i="6"/>
  <c r="AD32" i="6"/>
  <c r="AC8" i="6"/>
  <c r="AR21" i="6"/>
  <c r="AU21" i="6"/>
  <c r="AD28" i="6"/>
  <c r="AD29" i="6"/>
  <c r="AD33" i="6"/>
  <c r="G8" i="7"/>
  <c r="C7" i="7"/>
  <c r="C6" i="7" s="1"/>
  <c r="H24" i="10" s="1"/>
  <c r="C8" i="7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AR23" i="6"/>
  <c r="AR22" i="6"/>
  <c r="AR20" i="6"/>
  <c r="AD35" i="6"/>
  <c r="AD34" i="6"/>
  <c r="AD26" i="6"/>
  <c r="AD27" i="6"/>
  <c r="S7" i="5"/>
  <c r="T6" i="5"/>
  <c r="U5" i="5"/>
  <c r="AG23" i="6"/>
  <c r="G7" i="5"/>
  <c r="H7" i="5"/>
  <c r="G18" i="5"/>
  <c r="H18" i="5"/>
  <c r="G14" i="5"/>
  <c r="H14" i="5"/>
  <c r="G10" i="5"/>
  <c r="H10" i="5"/>
  <c r="AD30" i="6"/>
  <c r="AD31" i="6"/>
  <c r="F6" i="5"/>
  <c r="G6" i="5"/>
  <c r="H6" i="5"/>
  <c r="F19" i="5"/>
  <c r="G19" i="5"/>
  <c r="H19" i="5"/>
  <c r="F15" i="5"/>
  <c r="G15" i="5"/>
  <c r="H15" i="5"/>
  <c r="F11" i="5"/>
  <c r="G11" i="5"/>
  <c r="H11" i="5"/>
  <c r="S8" i="5"/>
  <c r="T7" i="5"/>
  <c r="U6" i="5"/>
  <c r="Y6" i="5"/>
  <c r="AC9" i="6"/>
  <c r="V5" i="5"/>
  <c r="W5" i="5"/>
  <c r="X5" i="5"/>
  <c r="AA5" i="5"/>
  <c r="I5" i="5"/>
  <c r="V6" i="5"/>
  <c r="W6" i="5"/>
  <c r="X6" i="5"/>
  <c r="AA6" i="5"/>
  <c r="AU23" i="6"/>
  <c r="AV30" i="6"/>
  <c r="AU20" i="6"/>
  <c r="AU22" i="6"/>
  <c r="T8" i="5"/>
  <c r="U7" i="5"/>
  <c r="S9" i="5"/>
  <c r="Y7" i="5"/>
  <c r="I6" i="5"/>
  <c r="AV31" i="6"/>
  <c r="AV29" i="6"/>
  <c r="AV26" i="6"/>
  <c r="AV28" i="6"/>
  <c r="AV27" i="6"/>
  <c r="S10" i="5"/>
  <c r="Y8" i="5"/>
  <c r="T9" i="5"/>
  <c r="U8" i="5"/>
  <c r="V7" i="5"/>
  <c r="W7" i="5"/>
  <c r="X7" i="5"/>
  <c r="AA7" i="5"/>
  <c r="I7" i="5"/>
  <c r="T10" i="5"/>
  <c r="U9" i="5"/>
  <c r="S11" i="5"/>
  <c r="Y9" i="5"/>
  <c r="V8" i="5"/>
  <c r="W8" i="5"/>
  <c r="X8" i="5"/>
  <c r="AA8" i="5"/>
  <c r="I8" i="5"/>
  <c r="S12" i="5"/>
  <c r="Y10" i="5"/>
  <c r="T11" i="5"/>
  <c r="U10" i="5"/>
  <c r="W9" i="5"/>
  <c r="X9" i="5"/>
  <c r="AA9" i="5"/>
  <c r="V9" i="5"/>
  <c r="V10" i="5"/>
  <c r="W10" i="5"/>
  <c r="X10" i="5"/>
  <c r="AA10" i="5"/>
  <c r="I9" i="5"/>
  <c r="T12" i="5"/>
  <c r="U11" i="5"/>
  <c r="Y11" i="5"/>
  <c r="S13" i="5"/>
  <c r="V11" i="5"/>
  <c r="W11" i="5"/>
  <c r="X11" i="5"/>
  <c r="AA11" i="5"/>
  <c r="S14" i="5"/>
  <c r="Y12" i="5"/>
  <c r="T13" i="5"/>
  <c r="U12" i="5"/>
  <c r="I10" i="5"/>
  <c r="I11" i="5"/>
  <c r="T14" i="5"/>
  <c r="U13" i="5"/>
  <c r="S15" i="5"/>
  <c r="Y13" i="5"/>
  <c r="V12" i="5"/>
  <c r="W12" i="5"/>
  <c r="X12" i="5"/>
  <c r="AA12" i="5"/>
  <c r="W13" i="5"/>
  <c r="X13" i="5"/>
  <c r="AA13" i="5"/>
  <c r="V13" i="5"/>
  <c r="S16" i="5"/>
  <c r="Y14" i="5"/>
  <c r="T15" i="5"/>
  <c r="U14" i="5"/>
  <c r="I12" i="5"/>
  <c r="T16" i="5"/>
  <c r="U15" i="5"/>
  <c r="Y15" i="5"/>
  <c r="S17" i="5"/>
  <c r="V14" i="5"/>
  <c r="W14" i="5"/>
  <c r="X14" i="5"/>
  <c r="AA14" i="5"/>
  <c r="I13" i="5"/>
  <c r="I14" i="5"/>
  <c r="S18" i="5"/>
  <c r="Y16" i="5"/>
  <c r="T17" i="5"/>
  <c r="U16" i="5"/>
  <c r="V15" i="5"/>
  <c r="W15" i="5"/>
  <c r="X15" i="5"/>
  <c r="AA15" i="5"/>
  <c r="I15" i="5"/>
  <c r="V16" i="5"/>
  <c r="W16" i="5"/>
  <c r="X16" i="5"/>
  <c r="AA16" i="5"/>
  <c r="T18" i="5"/>
  <c r="U17" i="5"/>
  <c r="S19" i="5"/>
  <c r="Y17" i="5"/>
  <c r="V17" i="5"/>
  <c r="W17" i="5"/>
  <c r="X17" i="5"/>
  <c r="AA17" i="5"/>
  <c r="I16" i="5"/>
  <c r="S20" i="5"/>
  <c r="Y18" i="5"/>
  <c r="T19" i="5"/>
  <c r="U18" i="5"/>
  <c r="I17" i="5"/>
  <c r="V18" i="5"/>
  <c r="W18" i="5"/>
  <c r="X18" i="5"/>
  <c r="AA18" i="5"/>
  <c r="T20" i="5"/>
  <c r="U19" i="5"/>
  <c r="Y19" i="5"/>
  <c r="S21" i="5"/>
  <c r="I18" i="5"/>
  <c r="Y20" i="5"/>
  <c r="Y21" i="5"/>
  <c r="T21" i="5"/>
  <c r="V19" i="5"/>
  <c r="W19" i="5"/>
  <c r="X19" i="5"/>
  <c r="AA19" i="5"/>
  <c r="I19" i="5"/>
  <c r="U20" i="5"/>
  <c r="U21" i="5"/>
  <c r="V21" i="5"/>
  <c r="W21" i="5"/>
  <c r="X21" i="5"/>
  <c r="AA21" i="5"/>
  <c r="V20" i="5"/>
  <c r="W20" i="5"/>
  <c r="X20" i="5"/>
  <c r="AA20" i="5"/>
  <c r="I21" i="5"/>
  <c r="I20" i="5"/>
  <c r="H28" i="10" l="1"/>
</calcChain>
</file>

<file path=xl/sharedStrings.xml><?xml version="1.0" encoding="utf-8"?>
<sst xmlns="http://schemas.openxmlformats.org/spreadsheetml/2006/main" count="252" uniqueCount="183">
  <si>
    <t>輝度均一性</t>
    <rPh sb="0" eb="2">
      <t>キド</t>
    </rPh>
    <rPh sb="2" eb="5">
      <t>キンイツセイ</t>
    </rPh>
    <phoneticPr fontId="2"/>
  </si>
  <si>
    <t>最大輝度</t>
    <rPh sb="0" eb="2">
      <t>サイダイ</t>
    </rPh>
    <rPh sb="2" eb="4">
      <t>キド</t>
    </rPh>
    <phoneticPr fontId="2"/>
  </si>
  <si>
    <t>承認</t>
  </si>
  <si>
    <t>担当</t>
  </si>
  <si>
    <t>設置場所</t>
  </si>
  <si>
    <t>機種名</t>
  </si>
  <si>
    <t>Sr.No.</t>
  </si>
  <si>
    <t>試験日</t>
  </si>
  <si>
    <t>判定方法</t>
  </si>
  <si>
    <t>分類</t>
  </si>
  <si>
    <t>確認項目</t>
  </si>
  <si>
    <t>判定</t>
  </si>
  <si>
    <t>仕様</t>
  </si>
  <si>
    <t>目視</t>
  </si>
  <si>
    <t>全体評価</t>
  </si>
  <si>
    <t>基準臨床画像の判定箇所が問題なく見えること。</t>
  </si>
  <si>
    <t>グレースケール</t>
  </si>
  <si>
    <t>アーチファクト</t>
  </si>
  <si>
    <t>フリッカー</t>
  </si>
  <si>
    <t>ビデオアーチファクト</t>
  </si>
  <si>
    <t>測定</t>
  </si>
  <si>
    <t>輝度均一性</t>
  </si>
  <si>
    <t>コントラスト応答</t>
  </si>
  <si>
    <t>最大輝度</t>
  </si>
  <si>
    <t>輝度比</t>
  </si>
  <si>
    <t>色度</t>
  </si>
  <si>
    <t>滑らかな単調連続表示であること。</t>
    <phoneticPr fontId="2"/>
  </si>
  <si>
    <t>16（11）段階のパッチの輝度差が明瞭に判別できること。</t>
  </si>
  <si>
    <t>5%95%パッチが見えること。</t>
  </si>
  <si>
    <t>≧250</t>
  </si>
  <si>
    <t>輝度</t>
    <rPh sb="0" eb="2">
      <t>キド</t>
    </rPh>
    <phoneticPr fontId="2"/>
  </si>
  <si>
    <t>JIRA TG18-UNL80 Pattern</t>
    <phoneticPr fontId="2"/>
  </si>
  <si>
    <t>Created based on AAPM-TG18 Ver.10.0</t>
    <phoneticPr fontId="2"/>
  </si>
  <si>
    <t>Sr.No.</t>
    <phoneticPr fontId="2"/>
  </si>
  <si>
    <t>LNパターン</t>
    <phoneticPr fontId="2"/>
  </si>
  <si>
    <t>測定輝度</t>
    <rPh sb="0" eb="2">
      <t>ソクテイ</t>
    </rPh>
    <rPh sb="2" eb="4">
      <t>キド</t>
    </rPh>
    <phoneticPr fontId="2"/>
  </si>
  <si>
    <t>x</t>
    <phoneticPr fontId="2"/>
  </si>
  <si>
    <t>u'</t>
    <phoneticPr fontId="2"/>
  </si>
  <si>
    <t>v'</t>
    <phoneticPr fontId="2"/>
  </si>
  <si>
    <t>モニタ 2</t>
    <phoneticPr fontId="2"/>
  </si>
  <si>
    <t>モニタ 3</t>
    <phoneticPr fontId="2"/>
  </si>
  <si>
    <t>ｙ</t>
    <phoneticPr fontId="2"/>
  </si>
  <si>
    <t>ｘ</t>
    <phoneticPr fontId="2"/>
  </si>
  <si>
    <t>モニタ 4</t>
    <phoneticPr fontId="2"/>
  </si>
  <si>
    <t>平均値</t>
    <rPh sb="0" eb="3">
      <t>ヘイキンチ</t>
    </rPh>
    <phoneticPr fontId="2"/>
  </si>
  <si>
    <t>マルチモニタ入力</t>
    <rPh sb="6" eb="8">
      <t>ニュウリョク</t>
    </rPh>
    <phoneticPr fontId="2"/>
  </si>
  <si>
    <t>本モニタ</t>
    <rPh sb="0" eb="1">
      <t>ホン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</si>
  <si>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</si>
  <si>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</si>
  <si>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</si>
  <si>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</si>
  <si>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</si>
  <si>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</si>
  <si>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</si>
  <si>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</si>
  <si>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</si>
  <si>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</si>
  <si>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u'</t>
    <phoneticPr fontId="2"/>
  </si>
  <si>
    <t>v'</t>
    <phoneticPr fontId="2"/>
  </si>
  <si>
    <t>①－②</t>
    <phoneticPr fontId="2"/>
  </si>
  <si>
    <t>①－③</t>
    <phoneticPr fontId="2"/>
  </si>
  <si>
    <t>①－④</t>
    <phoneticPr fontId="2"/>
  </si>
  <si>
    <t>①－⑤</t>
    <phoneticPr fontId="2"/>
  </si>
  <si>
    <t>②－③</t>
    <phoneticPr fontId="2"/>
  </si>
  <si>
    <t>②－④</t>
    <phoneticPr fontId="2"/>
  </si>
  <si>
    <t>②－⑤</t>
    <phoneticPr fontId="2"/>
  </si>
  <si>
    <t>③－④</t>
    <phoneticPr fontId="2"/>
  </si>
  <si>
    <t>③－⑤</t>
    <phoneticPr fontId="2"/>
  </si>
  <si>
    <t>④－⑤</t>
    <phoneticPr fontId="2"/>
  </si>
  <si>
    <t>最大値</t>
    <rPh sb="0" eb="3">
      <t>サイダイチ</t>
    </rPh>
    <phoneticPr fontId="2"/>
  </si>
  <si>
    <t>本モニタ</t>
    <phoneticPr fontId="2"/>
  </si>
  <si>
    <t>モニタ2</t>
    <phoneticPr fontId="2"/>
  </si>
  <si>
    <t>モニタ3</t>
    <phoneticPr fontId="2"/>
  </si>
  <si>
    <t>モニタ4</t>
  </si>
  <si>
    <t>本モニタ－モニタ2</t>
    <rPh sb="0" eb="1">
      <t>ホン</t>
    </rPh>
    <phoneticPr fontId="2"/>
  </si>
  <si>
    <t>本モニタ－モニタ3</t>
    <rPh sb="0" eb="1">
      <t>ホン</t>
    </rPh>
    <phoneticPr fontId="2"/>
  </si>
  <si>
    <t>本モニタ－モニタ4</t>
    <rPh sb="0" eb="1">
      <t>ホン</t>
    </rPh>
    <phoneticPr fontId="2"/>
  </si>
  <si>
    <t>モニタ2－モニタ3</t>
    <phoneticPr fontId="2"/>
  </si>
  <si>
    <t>モニタ2－モニタ4</t>
    <phoneticPr fontId="2"/>
  </si>
  <si>
    <t>モニタ3－モニタ4</t>
    <phoneticPr fontId="2"/>
  </si>
  <si>
    <t>⊿L</t>
    <phoneticPr fontId="2"/>
  </si>
  <si>
    <t>⊿L/L</t>
    <phoneticPr fontId="2"/>
  </si>
  <si>
    <t>J (L)</t>
    <phoneticPr fontId="2"/>
  </si>
  <si>
    <t>入力可能セル</t>
    <rPh sb="0" eb="2">
      <t>ニュウリョク</t>
    </rPh>
    <rPh sb="2" eb="4">
      <t>カノウ</t>
    </rPh>
    <phoneticPr fontId="2"/>
  </si>
  <si>
    <t>-</t>
    <phoneticPr fontId="2"/>
  </si>
  <si>
    <t>輝度比</t>
    <rPh sb="0" eb="2">
      <t>キド</t>
    </rPh>
    <rPh sb="2" eb="3">
      <t>ヒ</t>
    </rPh>
    <phoneticPr fontId="2"/>
  </si>
  <si>
    <t>⊿L/L for a JND</t>
    <phoneticPr fontId="2"/>
  </si>
  <si>
    <t>L(ave)</t>
    <phoneticPr fontId="2"/>
  </si>
  <si>
    <t>総合判定</t>
    <rPh sb="0" eb="2">
      <t>ソウゴウ</t>
    </rPh>
    <rPh sb="2" eb="4">
      <t>ハンテイ</t>
    </rPh>
    <phoneticPr fontId="2"/>
  </si>
  <si>
    <t>目視判定が合格で、測定値が表示されていること。</t>
    <rPh sb="0" eb="2">
      <t>モクシ</t>
    </rPh>
    <rPh sb="2" eb="4">
      <t>ハンテイ</t>
    </rPh>
    <rPh sb="5" eb="7">
      <t>ゴウカク</t>
    </rPh>
    <rPh sb="9" eb="12">
      <t>ソクテイチ</t>
    </rPh>
    <rPh sb="13" eb="15">
      <t>ヒョウジ</t>
    </rPh>
    <phoneticPr fontId="2"/>
  </si>
  <si>
    <t>色度計型名</t>
    <rPh sb="0" eb="1">
      <t>シキ</t>
    </rPh>
    <rPh sb="1" eb="2">
      <t>ド</t>
    </rPh>
    <rPh sb="2" eb="3">
      <t>ケイ</t>
    </rPh>
    <rPh sb="3" eb="5">
      <t>カタメイ</t>
    </rPh>
    <phoneticPr fontId="2"/>
  </si>
  <si>
    <t>DICOM輝度</t>
    <rPh sb="5" eb="7">
      <t>キド</t>
    </rPh>
    <phoneticPr fontId="2"/>
  </si>
  <si>
    <t>⊿L</t>
    <phoneticPr fontId="2"/>
  </si>
  <si>
    <t>L(ave)</t>
    <phoneticPr fontId="2"/>
  </si>
  <si>
    <t>⊿L/L</t>
    <phoneticPr fontId="2"/>
  </si>
  <si>
    <t>⊿L/L for a JND</t>
    <phoneticPr fontId="2"/>
  </si>
  <si>
    <t>平均JND</t>
    <rPh sb="0" eb="2">
      <t>ヘイキン</t>
    </rPh>
    <phoneticPr fontId="2"/>
  </si>
  <si>
    <t>DICOM</t>
    <phoneticPr fontId="2"/>
  </si>
  <si>
    <t>DICOM_JND</t>
    <phoneticPr fontId="2"/>
  </si>
  <si>
    <t>輝度計型名</t>
    <rPh sb="0" eb="2">
      <t>キド</t>
    </rPh>
    <rPh sb="2" eb="3">
      <t>ケイ</t>
    </rPh>
    <rPh sb="3" eb="5">
      <t>カタメイ</t>
    </rPh>
    <phoneticPr fontId="2"/>
  </si>
  <si>
    <t>照度計型名</t>
    <phoneticPr fontId="2"/>
  </si>
  <si>
    <t>医療機関</t>
    <phoneticPr fontId="2"/>
  </si>
  <si>
    <t>モニタ 3</t>
    <phoneticPr fontId="2"/>
  </si>
  <si>
    <t>アーチファクトが確認できないこと。</t>
    <phoneticPr fontId="2"/>
  </si>
  <si>
    <t>コントラスト応答</t>
    <phoneticPr fontId="2"/>
  </si>
  <si>
    <t>最大輝度</t>
    <phoneticPr fontId="2"/>
  </si>
  <si>
    <t>輝度比</t>
    <phoneticPr fontId="2"/>
  </si>
  <si>
    <t>グレード1A</t>
    <phoneticPr fontId="2"/>
  </si>
  <si>
    <t>≦±10</t>
    <phoneticPr fontId="2"/>
  </si>
  <si>
    <t>≧350</t>
    <phoneticPr fontId="2"/>
  </si>
  <si>
    <t>グレード1B</t>
    <phoneticPr fontId="2"/>
  </si>
  <si>
    <t>≦±15</t>
    <phoneticPr fontId="2"/>
  </si>
  <si>
    <t>グレード2</t>
    <phoneticPr fontId="2"/>
  </si>
  <si>
    <t>≦±30</t>
    <phoneticPr fontId="2"/>
  </si>
  <si>
    <t>≧100</t>
    <phoneticPr fontId="2"/>
  </si>
  <si>
    <t>色度</t>
    <rPh sb="0" eb="1">
      <t>イロ</t>
    </rPh>
    <rPh sb="1" eb="2">
      <t>ド</t>
    </rPh>
    <phoneticPr fontId="2"/>
  </si>
  <si>
    <t>≦30</t>
    <phoneticPr fontId="2"/>
  </si>
  <si>
    <t>単位</t>
    <rPh sb="0" eb="2">
      <t>タンイ</t>
    </rPh>
    <phoneticPr fontId="2"/>
  </si>
  <si>
    <t>pixel</t>
    <phoneticPr fontId="2"/>
  </si>
  <si>
    <t>解像度</t>
    <phoneticPr fontId="2"/>
  </si>
  <si>
    <t>マルチ医用モニタ間≦10</t>
    <rPh sb="8" eb="9">
      <t>アイダ</t>
    </rPh>
    <phoneticPr fontId="2"/>
  </si>
  <si>
    <t>マルチ医用モニタ間≦0.01</t>
    <rPh sb="8" eb="9">
      <t>アイダ</t>
    </rPh>
    <phoneticPr fontId="2"/>
  </si>
  <si>
    <t>%</t>
    <phoneticPr fontId="2"/>
  </si>
  <si>
    <r>
      <t>K</t>
    </r>
    <r>
      <rPr>
        <vertAlign val="subscript"/>
        <sz val="11"/>
        <rFont val="ＭＳ Ｐゴシック"/>
        <family val="3"/>
        <charset val="128"/>
      </rPr>
      <t>δ</t>
    </r>
    <phoneticPr fontId="2"/>
  </si>
  <si>
    <r>
      <t>⊿u'v'={(u'</t>
    </r>
    <r>
      <rPr>
        <vertAlign val="subscript"/>
        <sz val="11"/>
        <rFont val="ＭＳ Ｐゴシック"/>
        <family val="3"/>
        <charset val="128"/>
      </rPr>
      <t>a</t>
    </r>
    <r>
      <rPr>
        <sz val="11"/>
        <rFont val="ＭＳ Ｐゴシック"/>
        <family val="3"/>
        <charset val="128"/>
      </rPr>
      <t>－u</t>
    </r>
    <r>
      <rPr>
        <sz val="11"/>
        <rFont val="ＭＳ Ｐゴシック"/>
        <family val="3"/>
        <charset val="128"/>
      </rPr>
      <t>'</t>
    </r>
    <r>
      <rPr>
        <vertAlign val="subscript"/>
        <sz val="11"/>
        <rFont val="ＭＳ Ｐゴシック"/>
        <family val="3"/>
        <charset val="128"/>
      </rPr>
      <t>b</t>
    </r>
    <r>
      <rPr>
        <sz val="11"/>
        <rFont val="ＭＳ Ｐゴシック"/>
        <family val="3"/>
        <charset val="128"/>
      </rPr>
      <t>)</t>
    </r>
    <r>
      <rPr>
        <vertAlign val="superscript"/>
        <sz val="11"/>
        <rFont val="ＭＳ Ｐゴシック"/>
        <family val="3"/>
        <charset val="128"/>
      </rPr>
      <t xml:space="preserve">2
</t>
    </r>
    <r>
      <rPr>
        <sz val="11"/>
        <rFont val="ＭＳ Ｐゴシック"/>
        <family val="3"/>
        <charset val="128"/>
      </rPr>
      <t>＋(v</t>
    </r>
    <r>
      <rPr>
        <sz val="11"/>
        <rFont val="ＭＳ Ｐゴシック"/>
        <family val="3"/>
        <charset val="128"/>
      </rPr>
      <t>'</t>
    </r>
    <r>
      <rPr>
        <vertAlign val="subscript"/>
        <sz val="11"/>
        <rFont val="ＭＳ Ｐゴシック"/>
        <family val="3"/>
        <charset val="128"/>
      </rPr>
      <t>a</t>
    </r>
    <r>
      <rPr>
        <sz val="11"/>
        <rFont val="ＭＳ Ｐゴシック"/>
        <family val="3"/>
        <charset val="128"/>
      </rPr>
      <t>－v</t>
    </r>
    <r>
      <rPr>
        <sz val="11"/>
        <rFont val="ＭＳ Ｐゴシック"/>
        <family val="3"/>
        <charset val="128"/>
      </rPr>
      <t>'</t>
    </r>
    <r>
      <rPr>
        <vertAlign val="subscript"/>
        <sz val="11"/>
        <rFont val="ＭＳ Ｐゴシック"/>
        <family val="3"/>
        <charset val="128"/>
      </rPr>
      <t>b</t>
    </r>
    <r>
      <rPr>
        <sz val="11"/>
        <rFont val="ＭＳ Ｐゴシック"/>
        <family val="3"/>
        <charset val="128"/>
      </rPr>
      <t>)</t>
    </r>
    <r>
      <rPr>
        <vertAlign val="superscript"/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}</t>
    </r>
    <r>
      <rPr>
        <vertAlign val="superscript"/>
        <sz val="11"/>
        <rFont val="ＭＳ Ｐゴシック"/>
        <family val="3"/>
        <charset val="128"/>
      </rPr>
      <t>1/2</t>
    </r>
    <phoneticPr fontId="2"/>
  </si>
  <si>
    <t>マルチ医用モニタ間</t>
    <rPh sb="3" eb="5">
      <t>イヨウ</t>
    </rPh>
    <rPh sb="8" eb="9">
      <t>カン</t>
    </rPh>
    <phoneticPr fontId="2"/>
  </si>
  <si>
    <t>LN-01</t>
    <phoneticPr fontId="2"/>
  </si>
  <si>
    <t>LN-02</t>
    <phoneticPr fontId="2"/>
  </si>
  <si>
    <t>LN-03</t>
  </si>
  <si>
    <t>LN-04</t>
  </si>
  <si>
    <t>LN-05</t>
  </si>
  <si>
    <t>LN-06</t>
  </si>
  <si>
    <t>LN-07</t>
  </si>
  <si>
    <t>LN-08</t>
  </si>
  <si>
    <t>LN-09</t>
  </si>
  <si>
    <t>LN-10</t>
  </si>
  <si>
    <t>LN-11</t>
  </si>
  <si>
    <t>LN-12</t>
  </si>
  <si>
    <t>LN-13</t>
  </si>
  <si>
    <t>LN-14</t>
  </si>
  <si>
    <t>LN-15</t>
  </si>
  <si>
    <t>LN-16</t>
  </si>
  <si>
    <t>LN-17</t>
  </si>
  <si>
    <t>LN-18</t>
    <phoneticPr fontId="2"/>
  </si>
  <si>
    <t>画面内≦0.01</t>
    <phoneticPr fontId="2"/>
  </si>
  <si>
    <t>画面内≦0.01</t>
    <phoneticPr fontId="2"/>
  </si>
  <si>
    <t>画面内</t>
    <rPh sb="0" eb="2">
      <t>ガメン</t>
    </rPh>
    <rPh sb="2" eb="3">
      <t>ナイ</t>
    </rPh>
    <phoneticPr fontId="2"/>
  </si>
  <si>
    <t>管理グレード</t>
    <rPh sb="0" eb="2">
      <t>カンリ</t>
    </rPh>
    <phoneticPr fontId="2"/>
  </si>
  <si>
    <r>
      <t>JESRA X-0093*B</t>
    </r>
    <r>
      <rPr>
        <b/>
        <vertAlign val="superscript"/>
        <sz val="16"/>
        <rFont val="ＭＳ Ｐゴシック"/>
        <family val="3"/>
        <charset val="128"/>
      </rPr>
      <t>-2017</t>
    </r>
    <phoneticPr fontId="2"/>
  </si>
  <si>
    <t>判定値</t>
    <rPh sb="0" eb="2">
      <t>ハンテイ</t>
    </rPh>
    <rPh sb="2" eb="3">
      <t>チ</t>
    </rPh>
    <phoneticPr fontId="2"/>
  </si>
  <si>
    <t>≧1000×1000</t>
    <phoneticPr fontId="2"/>
  </si>
  <si>
    <t>計算式</t>
    <phoneticPr fontId="2"/>
  </si>
  <si>
    <t>-</t>
    <phoneticPr fontId="2"/>
  </si>
  <si>
    <t>グレード1A</t>
  </si>
  <si>
    <t>OK</t>
  </si>
  <si>
    <t>OK</t>
    <phoneticPr fontId="2"/>
  </si>
  <si>
    <t>OK</t>
    <phoneticPr fontId="2"/>
  </si>
  <si>
    <r>
      <t>L</t>
    </r>
    <r>
      <rPr>
        <vertAlign val="subscript"/>
        <sz val="11"/>
        <rFont val="ＭＳ Ｐゴシック"/>
        <family val="3"/>
        <charset val="128"/>
      </rPr>
      <t>max</t>
    </r>
    <r>
      <rPr>
        <sz val="11"/>
        <rFont val="ＭＳ Ｐゴシック"/>
        <family val="3"/>
        <charset val="128"/>
      </rPr>
      <t>/L</t>
    </r>
    <r>
      <rPr>
        <vertAlign val="subscript"/>
        <sz val="11"/>
        <rFont val="ＭＳ Ｐゴシック"/>
        <family val="3"/>
        <charset val="128"/>
      </rPr>
      <t>min</t>
    </r>
    <phoneticPr fontId="2"/>
  </si>
  <si>
    <r>
      <t>L</t>
    </r>
    <r>
      <rPr>
        <vertAlign val="subscript"/>
        <sz val="11"/>
        <rFont val="ＭＳ Ｐゴシック"/>
        <family val="3"/>
        <charset val="128"/>
      </rPr>
      <t>max</t>
    </r>
    <phoneticPr fontId="2"/>
  </si>
  <si>
    <r>
      <t>cd/m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</si>
  <si>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r>
      <t>⊿u'v'={(u'</t>
    </r>
    <r>
      <rPr>
        <vertAlign val="subscript"/>
        <sz val="11"/>
        <rFont val="ＭＳ Ｐゴシック"/>
        <family val="3"/>
        <charset val="128"/>
      </rPr>
      <t>ave</t>
    </r>
    <r>
      <rPr>
        <sz val="11"/>
        <rFont val="ＭＳ Ｐゴシック"/>
        <family val="3"/>
        <charset val="128"/>
      </rPr>
      <t>_</t>
    </r>
    <r>
      <rPr>
        <vertAlign val="subscript"/>
        <sz val="11"/>
        <rFont val="ＭＳ Ｐゴシック"/>
        <family val="3"/>
        <charset val="128"/>
      </rPr>
      <t>R</t>
    </r>
    <r>
      <rPr>
        <sz val="11"/>
        <rFont val="ＭＳ Ｐゴシック"/>
        <family val="3"/>
        <charset val="128"/>
      </rPr>
      <t>－u</t>
    </r>
    <r>
      <rPr>
        <sz val="11"/>
        <rFont val="ＭＳ Ｐゴシック"/>
        <family val="3"/>
        <charset val="128"/>
      </rPr>
      <t>'</t>
    </r>
    <r>
      <rPr>
        <vertAlign val="subscript"/>
        <sz val="11"/>
        <rFont val="ＭＳ Ｐゴシック"/>
        <family val="3"/>
        <charset val="128"/>
      </rPr>
      <t>ave</t>
    </r>
    <r>
      <rPr>
        <sz val="11"/>
        <rFont val="ＭＳ Ｐゴシック"/>
        <family val="3"/>
        <charset val="128"/>
      </rPr>
      <t>_</t>
    </r>
    <r>
      <rPr>
        <vertAlign val="subscript"/>
        <sz val="11"/>
        <rFont val="ＭＳ Ｐゴシック"/>
        <family val="3"/>
        <charset val="128"/>
      </rPr>
      <t>L</t>
    </r>
    <r>
      <rPr>
        <sz val="11"/>
        <rFont val="ＭＳ Ｐゴシック"/>
        <family val="3"/>
        <charset val="128"/>
      </rPr>
      <t>)</t>
    </r>
    <r>
      <rPr>
        <vertAlign val="superscript"/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 xml:space="preserve">
＋(v</t>
    </r>
    <r>
      <rPr>
        <sz val="11"/>
        <rFont val="ＭＳ Ｐゴシック"/>
        <family val="3"/>
        <charset val="128"/>
      </rPr>
      <t>'</t>
    </r>
    <r>
      <rPr>
        <vertAlign val="subscript"/>
        <sz val="11"/>
        <rFont val="ＭＳ Ｐゴシック"/>
        <family val="3"/>
        <charset val="128"/>
      </rPr>
      <t>ave</t>
    </r>
    <r>
      <rPr>
        <sz val="11"/>
        <rFont val="ＭＳ Ｐゴシック"/>
        <family val="3"/>
        <charset val="128"/>
      </rPr>
      <t>_</t>
    </r>
    <r>
      <rPr>
        <vertAlign val="subscript"/>
        <sz val="11"/>
        <rFont val="ＭＳ Ｐゴシック"/>
        <family val="3"/>
        <charset val="128"/>
      </rPr>
      <t>R</t>
    </r>
    <r>
      <rPr>
        <sz val="11"/>
        <rFont val="ＭＳ Ｐゴシック"/>
        <family val="3"/>
        <charset val="128"/>
      </rPr>
      <t>－v</t>
    </r>
    <r>
      <rPr>
        <sz val="11"/>
        <rFont val="ＭＳ Ｐゴシック"/>
        <family val="3"/>
        <charset val="128"/>
      </rPr>
      <t>'</t>
    </r>
    <r>
      <rPr>
        <vertAlign val="subscript"/>
        <sz val="11"/>
        <rFont val="ＭＳ Ｐゴシック"/>
        <family val="3"/>
        <charset val="128"/>
      </rPr>
      <t>ave</t>
    </r>
    <r>
      <rPr>
        <sz val="11"/>
        <rFont val="ＭＳ Ｐゴシック"/>
        <family val="3"/>
        <charset val="128"/>
      </rPr>
      <t>_</t>
    </r>
    <r>
      <rPr>
        <vertAlign val="subscript"/>
        <sz val="11"/>
        <rFont val="ＭＳ Ｐゴシック"/>
        <family val="3"/>
        <charset val="128"/>
      </rPr>
      <t>L</t>
    </r>
    <r>
      <rPr>
        <sz val="11"/>
        <rFont val="ＭＳ Ｐゴシック"/>
        <family val="3"/>
        <charset val="128"/>
      </rPr>
      <t>)</t>
    </r>
    <r>
      <rPr>
        <vertAlign val="superscript"/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}</t>
    </r>
    <r>
      <rPr>
        <vertAlign val="superscript"/>
        <sz val="11"/>
        <rFont val="ＭＳ Ｐゴシック"/>
        <family val="3"/>
        <charset val="128"/>
      </rPr>
      <t>1/2</t>
    </r>
    <phoneticPr fontId="2"/>
  </si>
  <si>
    <t>クロストーク</t>
    <phoneticPr fontId="2"/>
  </si>
  <si>
    <t>≧170</t>
    <phoneticPr fontId="2"/>
  </si>
  <si>
    <r>
      <t>(L</t>
    </r>
    <r>
      <rPr>
        <vertAlign val="subscript"/>
        <sz val="11"/>
        <rFont val="ＭＳ Ｐゴシック"/>
        <family val="3"/>
        <charset val="128"/>
      </rPr>
      <t>high</t>
    </r>
    <r>
      <rPr>
        <sz val="11"/>
        <rFont val="ＭＳ Ｐゴシック"/>
        <family val="3"/>
        <charset val="128"/>
      </rPr>
      <t>－L</t>
    </r>
    <r>
      <rPr>
        <vertAlign val="subscript"/>
        <sz val="11"/>
        <rFont val="ＭＳ Ｐゴシック"/>
        <family val="3"/>
        <charset val="128"/>
      </rPr>
      <t>low</t>
    </r>
    <r>
      <rPr>
        <sz val="11"/>
        <rFont val="ＭＳ Ｐゴシック"/>
        <family val="3"/>
        <charset val="128"/>
      </rPr>
      <t>)
/(L</t>
    </r>
    <r>
      <rPr>
        <vertAlign val="subscript"/>
        <sz val="11"/>
        <rFont val="ＭＳ Ｐゴシック"/>
        <family val="3"/>
        <charset val="128"/>
      </rPr>
      <t>high</t>
    </r>
    <r>
      <rPr>
        <sz val="11"/>
        <rFont val="ＭＳ Ｐゴシック"/>
        <family val="3"/>
        <charset val="128"/>
      </rPr>
      <t>＋L</t>
    </r>
    <r>
      <rPr>
        <vertAlign val="subscript"/>
        <sz val="11"/>
        <rFont val="ＭＳ Ｐゴシック"/>
        <family val="3"/>
        <charset val="128"/>
      </rPr>
      <t>low</t>
    </r>
    <r>
      <rPr>
        <sz val="11"/>
        <rFont val="ＭＳ Ｐゴシック"/>
        <family val="3"/>
        <charset val="128"/>
      </rPr>
      <t>)*200</t>
    </r>
    <phoneticPr fontId="2"/>
  </si>
  <si>
    <r>
      <t>(L</t>
    </r>
    <r>
      <rPr>
        <vertAlign val="subscript"/>
        <sz val="11"/>
        <rFont val="ＭＳ Ｐゴシック"/>
        <family val="3"/>
        <charset val="128"/>
      </rPr>
      <t>high</t>
    </r>
    <r>
      <rPr>
        <sz val="11"/>
        <rFont val="ＭＳ Ｐゴシック"/>
        <family val="3"/>
        <charset val="128"/>
      </rPr>
      <t>－L</t>
    </r>
    <r>
      <rPr>
        <vertAlign val="subscript"/>
        <sz val="11"/>
        <rFont val="ＭＳ Ｐゴシック"/>
        <family val="3"/>
        <charset val="128"/>
      </rPr>
      <t>low</t>
    </r>
    <r>
      <rPr>
        <sz val="11"/>
        <rFont val="ＭＳ Ｐゴシック"/>
        <family val="3"/>
        <charset val="128"/>
      </rPr>
      <t>)
/(L</t>
    </r>
    <r>
      <rPr>
        <vertAlign val="subscript"/>
        <sz val="11"/>
        <rFont val="ＭＳ Ｐゴシック"/>
        <family val="3"/>
        <charset val="128"/>
      </rPr>
      <t>high</t>
    </r>
    <r>
      <rPr>
        <sz val="11"/>
        <rFont val="ＭＳ Ｐゴシック"/>
        <family val="3"/>
        <charset val="128"/>
      </rPr>
      <t>＋L</t>
    </r>
    <r>
      <rPr>
        <vertAlign val="subscript"/>
        <sz val="11"/>
        <rFont val="ＭＳ Ｐゴシック"/>
        <family val="3"/>
        <charset val="128"/>
      </rPr>
      <t>low</t>
    </r>
    <r>
      <rPr>
        <sz val="11"/>
        <rFont val="ＭＳ Ｐゴシック"/>
        <family val="3"/>
        <charset val="128"/>
      </rPr>
      <t xml:space="preserve">)*200 </t>
    </r>
    <phoneticPr fontId="2"/>
  </si>
  <si>
    <r>
      <t>L</t>
    </r>
    <r>
      <rPr>
        <vertAlign val="subscript"/>
        <sz val="11"/>
        <rFont val="ＭＳ Ｐゴシック"/>
        <family val="3"/>
        <charset val="128"/>
      </rPr>
      <t>high</t>
    </r>
    <phoneticPr fontId="2"/>
  </si>
  <si>
    <r>
      <t>L</t>
    </r>
    <r>
      <rPr>
        <vertAlign val="subscript"/>
        <sz val="11"/>
        <rFont val="ＭＳ Ｐゴシック"/>
        <family val="3"/>
        <charset val="128"/>
      </rPr>
      <t>low</t>
    </r>
    <phoneticPr fontId="2"/>
  </si>
  <si>
    <t>最大エラー率</t>
    <rPh sb="0" eb="2">
      <t>サイダイ</t>
    </rPh>
    <rPh sb="5" eb="6">
      <t>リツ</t>
    </rPh>
    <phoneticPr fontId="2"/>
  </si>
  <si>
    <t>エラー率</t>
    <rPh sb="3" eb="4">
      <t>リツ</t>
    </rPh>
    <phoneticPr fontId="2"/>
  </si>
  <si>
    <t>入力方法：TG18-LN-01～LN-18パターンの測定輝度を入力する</t>
    <rPh sb="26" eb="28">
      <t>ソクテイ</t>
    </rPh>
    <rPh sb="28" eb="30">
      <t>キド</t>
    </rPh>
    <phoneticPr fontId="2"/>
  </si>
  <si>
    <r>
      <t>L</t>
    </r>
    <r>
      <rPr>
        <vertAlign val="subscript"/>
        <sz val="11"/>
        <rFont val="ＭＳ Ｐゴシック"/>
        <family val="3"/>
        <charset val="128"/>
      </rPr>
      <t>max_H</t>
    </r>
    <phoneticPr fontId="2"/>
  </si>
  <si>
    <r>
      <t>L</t>
    </r>
    <r>
      <rPr>
        <vertAlign val="subscript"/>
        <sz val="11"/>
        <rFont val="ＭＳ Ｐゴシック"/>
        <family val="3"/>
        <charset val="128"/>
      </rPr>
      <t>max_L</t>
    </r>
    <phoneticPr fontId="2"/>
  </si>
  <si>
    <t>入力方法：マルチ医用モニタのTG18-LN-18の輝度をモニタ 2～モニタ 4に入力する</t>
    <rPh sb="8" eb="10">
      <t>イヨウ</t>
    </rPh>
    <rPh sb="25" eb="27">
      <t>キド</t>
    </rPh>
    <phoneticPr fontId="2"/>
  </si>
  <si>
    <r>
      <t>u'</t>
    </r>
    <r>
      <rPr>
        <vertAlign val="subscript"/>
        <sz val="11"/>
        <rFont val="ＭＳ Ｐゴシック"/>
        <family val="3"/>
        <charset val="128"/>
      </rPr>
      <t>ave</t>
    </r>
    <phoneticPr fontId="2"/>
  </si>
  <si>
    <r>
      <t>v'</t>
    </r>
    <r>
      <rPr>
        <vertAlign val="subscript"/>
        <sz val="11"/>
        <rFont val="ＭＳ Ｐゴシック"/>
        <family val="3"/>
        <charset val="128"/>
      </rPr>
      <t>ave</t>
    </r>
    <phoneticPr fontId="2"/>
  </si>
  <si>
    <r>
      <t>u'</t>
    </r>
    <r>
      <rPr>
        <vertAlign val="subscript"/>
        <sz val="11"/>
        <rFont val="ＭＳ Ｐゴシック"/>
        <family val="3"/>
        <charset val="128"/>
      </rPr>
      <t>ave</t>
    </r>
    <phoneticPr fontId="2"/>
  </si>
  <si>
    <r>
      <t>v'</t>
    </r>
    <r>
      <rPr>
        <vertAlign val="subscript"/>
        <sz val="11"/>
        <rFont val="ＭＳ Ｐゴシック"/>
        <family val="3"/>
        <charset val="128"/>
      </rPr>
      <t>ave</t>
    </r>
    <phoneticPr fontId="2"/>
  </si>
  <si>
    <t xml:space="preserve">入力方法：管理グレードを選択する。入力可能セルに必要な項目を記入する。
</t>
    <rPh sb="0" eb="2">
      <t>ニュウリョク</t>
    </rPh>
    <rPh sb="2" eb="4">
      <t>ホウホウ</t>
    </rPh>
    <rPh sb="24" eb="26">
      <t>ヒツヨウ</t>
    </rPh>
    <rPh sb="27" eb="29">
      <t>コウモク</t>
    </rPh>
    <phoneticPr fontId="2"/>
  </si>
  <si>
    <t>入力方法：5箇所に測定輝度を入力する</t>
    <rPh sb="0" eb="2">
      <t>ニュウリョク</t>
    </rPh>
    <rPh sb="2" eb="4">
      <t>ホウホウ</t>
    </rPh>
    <rPh sb="6" eb="8">
      <t>カショ</t>
    </rPh>
    <rPh sb="9" eb="11">
      <t>ソクテイ</t>
    </rPh>
    <rPh sb="11" eb="13">
      <t>キド</t>
    </rPh>
    <rPh sb="14" eb="16">
      <t>ニュウリョク</t>
    </rPh>
    <phoneticPr fontId="2"/>
  </si>
  <si>
    <t>u',v'入力</t>
    <rPh sb="5" eb="7">
      <t>ニュウリョク</t>
    </rPh>
    <phoneticPr fontId="2"/>
  </si>
  <si>
    <t>x,y入力</t>
    <rPh sb="3" eb="5">
      <t>ニュウリョク</t>
    </rPh>
    <phoneticPr fontId="2"/>
  </si>
  <si>
    <r>
      <t>入力方法：5箇所に測定色度（u',v'またはｘ,ｙ）を入力する。　　　　マルチ医用モニタの平均、u'</t>
    </r>
    <r>
      <rPr>
        <b/>
        <vertAlign val="subscript"/>
        <sz val="11"/>
        <color indexed="10"/>
        <rFont val="ＭＳ Ｐゴシック"/>
        <family val="3"/>
        <charset val="128"/>
      </rPr>
      <t>ave</t>
    </r>
    <r>
      <rPr>
        <b/>
        <sz val="11"/>
        <color indexed="10"/>
        <rFont val="ＭＳ Ｐゴシック"/>
        <family val="3"/>
        <charset val="128"/>
      </rPr>
      <t>、v'aveをモニタ 2～モニタ 4に入力する</t>
    </r>
    <rPh sb="11" eb="12">
      <t>シキ</t>
    </rPh>
    <rPh sb="12" eb="13">
      <t>ド</t>
    </rPh>
    <rPh sb="39" eb="41">
      <t>イヨウ</t>
    </rPh>
    <rPh sb="45" eb="47">
      <t>ヘイキン</t>
    </rPh>
    <phoneticPr fontId="2"/>
  </si>
  <si>
    <r>
      <t>(L</t>
    </r>
    <r>
      <rPr>
        <vertAlign val="subscript"/>
        <sz val="11"/>
        <rFont val="ＭＳ Ｐゴシック"/>
        <family val="3"/>
        <charset val="128"/>
      </rPr>
      <t>max</t>
    </r>
    <r>
      <rPr>
        <sz val="11"/>
        <rFont val="ＭＳ Ｐゴシック"/>
        <family val="3"/>
        <charset val="128"/>
      </rPr>
      <t>_</t>
    </r>
    <r>
      <rPr>
        <vertAlign val="subscript"/>
        <sz val="11"/>
        <rFont val="ＭＳ Ｐゴシック"/>
        <family val="3"/>
        <charset val="128"/>
      </rPr>
      <t>H</t>
    </r>
    <r>
      <rPr>
        <sz val="11"/>
        <rFont val="ＭＳ Ｐゴシック"/>
        <family val="3"/>
        <charset val="128"/>
      </rPr>
      <t>－L</t>
    </r>
    <r>
      <rPr>
        <vertAlign val="subscript"/>
        <sz val="11"/>
        <rFont val="ＭＳ Ｐゴシック"/>
        <family val="3"/>
        <charset val="128"/>
      </rPr>
      <t>max</t>
    </r>
    <r>
      <rPr>
        <sz val="11"/>
        <rFont val="ＭＳ Ｐゴシック"/>
        <family val="3"/>
        <charset val="128"/>
      </rPr>
      <t>_</t>
    </r>
    <r>
      <rPr>
        <vertAlign val="subscript"/>
        <sz val="11"/>
        <rFont val="ＭＳ Ｐゴシック"/>
        <family val="3"/>
        <charset val="128"/>
      </rPr>
      <t>L</t>
    </r>
    <r>
      <rPr>
        <sz val="11"/>
        <rFont val="ＭＳ Ｐゴシック"/>
        <family val="3"/>
        <charset val="128"/>
      </rPr>
      <t>)
/L</t>
    </r>
    <r>
      <rPr>
        <vertAlign val="subscript"/>
        <sz val="11"/>
        <rFont val="ＭＳ Ｐゴシック"/>
        <family val="3"/>
        <charset val="128"/>
      </rPr>
      <t>max_L</t>
    </r>
    <r>
      <rPr>
        <sz val="11"/>
        <rFont val="ＭＳ Ｐゴシック"/>
        <family val="3"/>
        <charset val="128"/>
      </rPr>
      <t>*100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</si>
</sst>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0.00_ "/>
    <numFmt numFmtId="177" formatCode="0.0_ "/>
    <numFmt numFmtId="178" formatCode="0.0000_ "/>
    <numFmt numFmtId="179" formatCode="#,##0.0;[Red]\-#,##0.0"/>
    <numFmt numFmtId="180" formatCode="#,##0.000;[Red]\-#,##0.000"/>
    <numFmt numFmtId="181" formatCode="#,##0.0000;[Red]\-#,##0.0000"/>
    <numFmt numFmtId="182" formatCode="0.0_);[Red]\(0.0\)"/>
    <numFmt numFmtId="183" formatCode="0.00_);[Red]\(0.00\)"/>
    <numFmt numFmtId="184" formatCode="#,##0.00_ ;[Red]\-#,##0.00\ "/>
    <numFmt numFmtId="185" formatCode="0.0"/>
    <numFmt numFmtId="186" formatCode="&quot;+&quot;0%"/>
  </numFmts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vertAlign val="subscript"/>
      <sz val="11"/>
      <name val="ＭＳ Ｐゴシック"/>
      <family val="3"/>
      <charset val="128"/>
    </font>
    <font>
      <sz val="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vertAlign val="superscript"/>
      <sz val="16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b/>
      <vertAlign val="subscript"/>
      <sz val="11"/>
      <color indexed="1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/>
      <bottom style="medium">
        <color indexed="10"/>
      </bottom>
      <diagonal/>
    </border>
    <border>
      <left style="medium">
        <color indexed="1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medium">
        <color indexed="10"/>
      </left>
      <right/>
      <top style="medium">
        <color indexed="10"/>
      </top>
      <bottom/>
      <diagonal/>
    </border>
    <border>
      <left/>
      <right style="medium">
        <color indexed="10"/>
      </right>
      <top style="medium">
        <color indexed="10"/>
      </top>
      <bottom/>
      <diagonal/>
    </border>
    <border>
      <left style="medium">
        <color indexed="10"/>
      </left>
      <right/>
      <top/>
      <bottom style="medium">
        <color indexed="10"/>
      </bottom>
      <diagonal/>
    </border>
    <border>
      <left/>
      <right style="medium">
        <color indexed="10"/>
      </right>
      <top/>
      <bottom style="medium">
        <color indexed="10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313">
    <xf numFmtId="0" fontId="0" fillId="0" borderId="0" xfId="0">
      <alignment vertical="center"/>
    </xf>
    <xf numFmtId="0" fontId="3" fillId="0" borderId="0" xfId="2" applyAlignment="1" applyProtection="1">
      <alignment vertical="center"/>
    </xf>
    <xf numFmtId="0" fontId="7" fillId="0" borderId="0" xfId="0" applyFont="1" applyProtection="1">
      <alignment vertical="center"/>
    </xf>
    <xf numFmtId="0" fontId="0" fillId="0" borderId="0" xfId="0" applyProtection="1">
      <alignment vertical="center"/>
    </xf>
    <xf numFmtId="0" fontId="0" fillId="0" borderId="0" xfId="0" applyFill="1" applyProtection="1">
      <alignment vertical="center"/>
    </xf>
    <xf numFmtId="0" fontId="0" fillId="2" borderId="2" xfId="0" applyFill="1" applyBorder="1" applyProtection="1">
      <alignment vertical="center"/>
    </xf>
    <xf numFmtId="0" fontId="0" fillId="2" borderId="3" xfId="0" applyFill="1" applyBorder="1" applyProtection="1">
      <alignment vertical="center"/>
    </xf>
    <xf numFmtId="0" fontId="0" fillId="2" borderId="4" xfId="0" applyFill="1" applyBorder="1" applyProtection="1">
      <alignment vertical="center"/>
    </xf>
    <xf numFmtId="0" fontId="0" fillId="2" borderId="5" xfId="0" applyFill="1" applyBorder="1" applyProtection="1">
      <alignment vertical="center"/>
    </xf>
    <xf numFmtId="0" fontId="0" fillId="2" borderId="6" xfId="0" applyFill="1" applyBorder="1" applyProtection="1">
      <alignment vertical="center"/>
    </xf>
    <xf numFmtId="0" fontId="0" fillId="2" borderId="0" xfId="0" applyFill="1" applyBorder="1" applyProtection="1">
      <alignment vertical="center"/>
    </xf>
    <xf numFmtId="0" fontId="0" fillId="2" borderId="7" xfId="0" applyFill="1" applyBorder="1" applyProtection="1">
      <alignment vertical="center"/>
    </xf>
    <xf numFmtId="0" fontId="0" fillId="2" borderId="8" xfId="0" applyFill="1" applyBorder="1" applyProtection="1">
      <alignment vertical="center"/>
    </xf>
    <xf numFmtId="0" fontId="0" fillId="2" borderId="9" xfId="0" applyFill="1" applyBorder="1" applyProtection="1">
      <alignment vertical="center"/>
    </xf>
    <xf numFmtId="40" fontId="0" fillId="3" borderId="11" xfId="3" applyNumberFormat="1" applyFont="1" applyFill="1" applyBorder="1" applyProtection="1">
      <alignment vertical="center"/>
      <protection locked="0"/>
    </xf>
    <xf numFmtId="40" fontId="0" fillId="3" borderId="11" xfId="3" applyNumberFormat="1" applyFont="1" applyFill="1" applyBorder="1" applyAlignment="1" applyProtection="1">
      <alignment horizontal="right" vertical="center"/>
      <protection locked="0"/>
    </xf>
    <xf numFmtId="0" fontId="0" fillId="2" borderId="0" xfId="0" applyFill="1" applyProtection="1">
      <alignment vertical="center"/>
    </xf>
    <xf numFmtId="0" fontId="0" fillId="0" borderId="0" xfId="0" applyFill="1" applyBorder="1" applyProtection="1">
      <alignment vertical="center"/>
    </xf>
    <xf numFmtId="181" fontId="0" fillId="2" borderId="6" xfId="3" applyNumberFormat="1" applyFont="1" applyFill="1" applyBorder="1" applyAlignment="1" applyProtection="1">
      <alignment horizontal="right" vertical="center"/>
    </xf>
    <xf numFmtId="181" fontId="0" fillId="2" borderId="0" xfId="3" applyNumberFormat="1" applyFont="1" applyFill="1" applyAlignment="1" applyProtection="1">
      <alignment horizontal="right" vertical="center"/>
    </xf>
    <xf numFmtId="181" fontId="0" fillId="2" borderId="5" xfId="3" applyNumberFormat="1" applyFont="1" applyFill="1" applyBorder="1" applyAlignment="1" applyProtection="1">
      <alignment horizontal="right" vertical="center"/>
    </xf>
    <xf numFmtId="181" fontId="0" fillId="2" borderId="0" xfId="3" applyNumberFormat="1" applyFont="1" applyFill="1" applyBorder="1" applyAlignment="1" applyProtection="1">
      <alignment horizontal="right" vertical="center"/>
    </xf>
    <xf numFmtId="0" fontId="0" fillId="2" borderId="12" xfId="0" applyFill="1" applyBorder="1" applyProtection="1">
      <alignment vertical="center"/>
    </xf>
    <xf numFmtId="0" fontId="0" fillId="2" borderId="6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horizontal="right" vertical="center"/>
    </xf>
    <xf numFmtId="181" fontId="0" fillId="0" borderId="0" xfId="3" applyNumberFormat="1" applyFont="1" applyAlignment="1" applyProtection="1">
      <alignment horizontal="right" vertical="center"/>
    </xf>
    <xf numFmtId="181" fontId="0" fillId="2" borderId="13" xfId="3" applyNumberFormat="1" applyFont="1" applyFill="1" applyBorder="1" applyAlignment="1" applyProtection="1">
      <alignment horizontal="right" vertical="center"/>
    </xf>
    <xf numFmtId="181" fontId="0" fillId="2" borderId="8" xfId="3" applyNumberFormat="1" applyFont="1" applyFill="1" applyBorder="1" applyAlignment="1" applyProtection="1">
      <alignment horizontal="right" vertical="center"/>
    </xf>
    <xf numFmtId="181" fontId="0" fillId="2" borderId="9" xfId="3" applyNumberFormat="1" applyFont="1" applyFill="1" applyBorder="1" applyAlignment="1" applyProtection="1">
      <alignment horizontal="right" vertical="center"/>
    </xf>
    <xf numFmtId="181" fontId="0" fillId="2" borderId="2" xfId="3" applyNumberFormat="1" applyFont="1" applyFill="1" applyBorder="1" applyAlignment="1" applyProtection="1">
      <alignment horizontal="right" vertical="center"/>
    </xf>
    <xf numFmtId="181" fontId="0" fillId="2" borderId="3" xfId="3" applyNumberFormat="1" applyFont="1" applyFill="1" applyBorder="1" applyAlignment="1" applyProtection="1">
      <alignment horizontal="right" vertical="center"/>
    </xf>
    <xf numFmtId="181" fontId="0" fillId="2" borderId="4" xfId="3" applyNumberFormat="1" applyFont="1" applyFill="1" applyBorder="1" applyAlignment="1" applyProtection="1">
      <alignment horizontal="right" vertical="center"/>
    </xf>
    <xf numFmtId="181" fontId="0" fillId="2" borderId="7" xfId="3" applyNumberFormat="1" applyFont="1" applyFill="1" applyBorder="1" applyAlignment="1" applyProtection="1">
      <alignment horizontal="right" vertical="center"/>
    </xf>
    <xf numFmtId="0" fontId="0" fillId="0" borderId="14" xfId="0" applyBorder="1" applyProtection="1">
      <alignment vertical="center"/>
    </xf>
    <xf numFmtId="0" fontId="0" fillId="0" borderId="15" xfId="0" applyBorder="1" applyProtection="1">
      <alignment vertical="center"/>
    </xf>
    <xf numFmtId="0" fontId="0" fillId="0" borderId="16" xfId="0" applyBorder="1" applyProtection="1">
      <alignment vertical="center"/>
    </xf>
    <xf numFmtId="0" fontId="0" fillId="4" borderId="1" xfId="0" applyFill="1" applyBorder="1" applyProtection="1">
      <alignment vertical="center"/>
    </xf>
    <xf numFmtId="177" fontId="0" fillId="0" borderId="0" xfId="0" applyNumberFormat="1" applyProtection="1">
      <alignment vertical="center"/>
    </xf>
    <xf numFmtId="0" fontId="0" fillId="0" borderId="0" xfId="0" applyBorder="1" applyAlignment="1" applyProtection="1">
      <alignment vertical="center"/>
    </xf>
    <xf numFmtId="177" fontId="0" fillId="4" borderId="1" xfId="0" applyNumberFormat="1" applyFill="1" applyBorder="1" applyProtection="1">
      <alignment vertical="center"/>
    </xf>
    <xf numFmtId="176" fontId="0" fillId="4" borderId="1" xfId="1" applyNumberFormat="1" applyFont="1" applyFill="1" applyBorder="1" applyProtection="1">
      <alignment vertical="center"/>
    </xf>
    <xf numFmtId="0" fontId="0" fillId="4" borderId="20" xfId="0" applyFill="1" applyBorder="1" applyProtection="1">
      <alignment vertical="center"/>
    </xf>
    <xf numFmtId="0" fontId="0" fillId="4" borderId="21" xfId="0" applyFill="1" applyBorder="1" applyProtection="1">
      <alignment vertical="center"/>
    </xf>
    <xf numFmtId="0" fontId="0" fillId="4" borderId="21" xfId="0" applyFill="1" applyBorder="1" applyAlignment="1" applyProtection="1">
      <alignment vertical="center"/>
    </xf>
    <xf numFmtId="0" fontId="0" fillId="4" borderId="22" xfId="0" applyFill="1" applyBorder="1" applyProtection="1">
      <alignment vertical="center"/>
    </xf>
    <xf numFmtId="0" fontId="9" fillId="0" borderId="0" xfId="0" applyFont="1" applyFill="1" applyBorder="1" applyProtection="1">
      <alignment vertical="center"/>
    </xf>
    <xf numFmtId="40" fontId="9" fillId="0" borderId="0" xfId="3" applyNumberFormat="1" applyFont="1" applyFill="1" applyBorder="1" applyProtection="1">
      <alignment vertical="center"/>
    </xf>
    <xf numFmtId="179" fontId="9" fillId="0" borderId="0" xfId="3" applyNumberFormat="1" applyFont="1" applyFill="1" applyBorder="1" applyProtection="1">
      <alignment vertical="center"/>
    </xf>
    <xf numFmtId="0" fontId="0" fillId="0" borderId="23" xfId="0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center" vertical="center"/>
    </xf>
    <xf numFmtId="0" fontId="10" fillId="0" borderId="0" xfId="0" applyFont="1" applyFill="1" applyBorder="1" applyProtection="1">
      <alignment vertical="center"/>
    </xf>
    <xf numFmtId="0" fontId="10" fillId="0" borderId="0" xfId="0" applyFont="1" applyFill="1" applyBorder="1" applyAlignment="1" applyProtection="1">
      <alignment horizontal="center" vertical="center"/>
    </xf>
    <xf numFmtId="9" fontId="10" fillId="0" borderId="0" xfId="0" quotePrefix="1" applyNumberFormat="1" applyFont="1" applyFill="1" applyBorder="1" applyAlignment="1" applyProtection="1">
      <alignment horizontal="center" vertical="center"/>
    </xf>
    <xf numFmtId="0" fontId="10" fillId="0" borderId="0" xfId="0" quotePrefix="1" applyFont="1" applyFill="1" applyBorder="1" applyAlignment="1" applyProtection="1">
      <alignment horizontal="center" vertical="center"/>
    </xf>
    <xf numFmtId="40" fontId="10" fillId="0" borderId="0" xfId="3" applyNumberFormat="1" applyFont="1" applyFill="1" applyBorder="1" applyProtection="1">
      <alignment vertical="center"/>
    </xf>
    <xf numFmtId="179" fontId="10" fillId="0" borderId="0" xfId="3" applyNumberFormat="1" applyFont="1" applyFill="1" applyBorder="1" applyProtection="1">
      <alignment vertical="center"/>
    </xf>
    <xf numFmtId="180" fontId="10" fillId="0" borderId="0" xfId="3" applyNumberFormat="1" applyFont="1" applyFill="1" applyBorder="1" applyProtection="1">
      <alignment vertical="center"/>
    </xf>
    <xf numFmtId="181" fontId="10" fillId="0" borderId="0" xfId="3" applyNumberFormat="1" applyFont="1" applyFill="1" applyBorder="1" applyProtection="1">
      <alignment vertical="center"/>
    </xf>
    <xf numFmtId="0" fontId="0" fillId="4" borderId="2" xfId="0" applyFill="1" applyBorder="1" applyAlignment="1" applyProtection="1">
      <alignment horizontal="center" vertical="center"/>
    </xf>
    <xf numFmtId="0" fontId="0" fillId="4" borderId="25" xfId="0" applyFill="1" applyBorder="1" applyAlignment="1" applyProtection="1">
      <alignment horizontal="center" vertical="center"/>
    </xf>
    <xf numFmtId="0" fontId="0" fillId="4" borderId="25" xfId="0" applyFill="1" applyBorder="1" applyProtection="1">
      <alignment vertical="center"/>
    </xf>
    <xf numFmtId="40" fontId="0" fillId="0" borderId="14" xfId="3" applyNumberFormat="1" applyFont="1" applyFill="1" applyBorder="1" applyProtection="1">
      <alignment vertical="center"/>
    </xf>
    <xf numFmtId="180" fontId="0" fillId="0" borderId="14" xfId="3" applyNumberFormat="1" applyFont="1" applyFill="1" applyBorder="1" applyProtection="1">
      <alignment vertical="center"/>
    </xf>
    <xf numFmtId="181" fontId="1" fillId="0" borderId="14" xfId="3" applyNumberFormat="1" applyFont="1" applyFill="1" applyBorder="1" applyProtection="1">
      <alignment vertical="center"/>
    </xf>
    <xf numFmtId="176" fontId="0" fillId="0" borderId="14" xfId="1" applyNumberFormat="1" applyFont="1" applyFill="1" applyBorder="1" applyProtection="1">
      <alignment vertical="center"/>
    </xf>
    <xf numFmtId="40" fontId="0" fillId="0" borderId="15" xfId="3" applyNumberFormat="1" applyFont="1" applyFill="1" applyBorder="1" applyProtection="1">
      <alignment vertical="center"/>
    </xf>
    <xf numFmtId="180" fontId="0" fillId="0" borderId="15" xfId="3" applyNumberFormat="1" applyFont="1" applyFill="1" applyBorder="1" applyProtection="1">
      <alignment vertical="center"/>
    </xf>
    <xf numFmtId="181" fontId="1" fillId="0" borderId="15" xfId="3" applyNumberFormat="1" applyFont="1" applyFill="1" applyBorder="1" applyProtection="1">
      <alignment vertical="center"/>
    </xf>
    <xf numFmtId="176" fontId="0" fillId="0" borderId="15" xfId="1" applyNumberFormat="1" applyFont="1" applyFill="1" applyBorder="1" applyProtection="1">
      <alignment vertical="center"/>
    </xf>
    <xf numFmtId="40" fontId="0" fillId="0" borderId="26" xfId="3" applyNumberFormat="1" applyFont="1" applyFill="1" applyBorder="1" applyProtection="1">
      <alignment vertical="center"/>
    </xf>
    <xf numFmtId="180" fontId="0" fillId="0" borderId="26" xfId="3" applyNumberFormat="1" applyFont="1" applyFill="1" applyBorder="1" applyProtection="1">
      <alignment vertical="center"/>
    </xf>
    <xf numFmtId="178" fontId="10" fillId="0" borderId="0" xfId="0" applyNumberFormat="1" applyFont="1" applyFill="1" applyBorder="1" applyProtection="1">
      <alignment vertical="center"/>
    </xf>
    <xf numFmtId="178" fontId="10" fillId="0" borderId="0" xfId="3" applyNumberFormat="1" applyFont="1" applyFill="1" applyBorder="1" applyProtection="1">
      <alignment vertical="center"/>
    </xf>
    <xf numFmtId="178" fontId="10" fillId="0" borderId="0" xfId="0" applyNumberFormat="1" applyFont="1" applyFill="1" applyBorder="1" applyAlignment="1" applyProtection="1">
      <alignment horizontal="right" vertical="center"/>
    </xf>
    <xf numFmtId="179" fontId="0" fillId="0" borderId="27" xfId="3" applyNumberFormat="1" applyFont="1" applyFill="1" applyBorder="1" applyProtection="1">
      <alignment vertical="center"/>
    </xf>
    <xf numFmtId="179" fontId="0" fillId="0" borderId="28" xfId="3" applyNumberFormat="1" applyFont="1" applyFill="1" applyBorder="1" applyProtection="1">
      <alignment vertical="center"/>
    </xf>
    <xf numFmtId="179" fontId="0" fillId="0" borderId="29" xfId="3" applyNumberFormat="1" applyFont="1" applyFill="1" applyBorder="1" applyProtection="1">
      <alignment vertical="center"/>
    </xf>
    <xf numFmtId="0" fontId="9" fillId="0" borderId="0" xfId="0" applyFont="1" applyProtection="1">
      <alignment vertical="center"/>
    </xf>
    <xf numFmtId="180" fontId="1" fillId="0" borderId="16" xfId="3" applyNumberFormat="1" applyFont="1" applyFill="1" applyBorder="1" applyProtection="1">
      <alignment vertical="center"/>
    </xf>
    <xf numFmtId="176" fontId="0" fillId="0" borderId="16" xfId="0" applyNumberFormat="1" applyFill="1" applyBorder="1" applyProtection="1">
      <alignment vertical="center"/>
    </xf>
    <xf numFmtId="0" fontId="0" fillId="0" borderId="30" xfId="0" applyBorder="1" applyAlignment="1" applyProtection="1">
      <alignment horizontal="center" vertical="center"/>
    </xf>
    <xf numFmtId="0" fontId="1" fillId="5" borderId="1" xfId="0" applyFont="1" applyFill="1" applyBorder="1" applyAlignment="1">
      <alignment vertical="center" wrapText="1"/>
    </xf>
    <xf numFmtId="0" fontId="0" fillId="6" borderId="2" xfId="0" applyFill="1" applyBorder="1" applyProtection="1">
      <alignment vertical="center"/>
    </xf>
    <xf numFmtId="0" fontId="0" fillId="6" borderId="3" xfId="0" applyFill="1" applyBorder="1" applyProtection="1">
      <alignment vertical="center"/>
    </xf>
    <xf numFmtId="0" fontId="0" fillId="6" borderId="4" xfId="0" applyFill="1" applyBorder="1" applyProtection="1">
      <alignment vertical="center"/>
    </xf>
    <xf numFmtId="0" fontId="0" fillId="6" borderId="5" xfId="0" applyFill="1" applyBorder="1" applyProtection="1">
      <alignment vertical="center"/>
    </xf>
    <xf numFmtId="0" fontId="0" fillId="6" borderId="6" xfId="0" applyFill="1" applyBorder="1" applyProtection="1">
      <alignment vertical="center"/>
    </xf>
    <xf numFmtId="0" fontId="0" fillId="6" borderId="0" xfId="0" applyFill="1" applyBorder="1" applyProtection="1">
      <alignment vertical="center"/>
    </xf>
    <xf numFmtId="0" fontId="0" fillId="6" borderId="7" xfId="0" applyFill="1" applyBorder="1" applyProtection="1">
      <alignment vertical="center"/>
    </xf>
    <xf numFmtId="0" fontId="0" fillId="6" borderId="8" xfId="0" applyFill="1" applyBorder="1" applyProtection="1">
      <alignment vertical="center"/>
    </xf>
    <xf numFmtId="0" fontId="0" fillId="6" borderId="9" xfId="0" applyFill="1" applyBorder="1" applyProtection="1">
      <alignment vertical="center"/>
    </xf>
    <xf numFmtId="0" fontId="1" fillId="5" borderId="20" xfId="0" applyFont="1" applyFill="1" applyBorder="1" applyAlignment="1">
      <alignment vertical="center" wrapText="1"/>
    </xf>
    <xf numFmtId="0" fontId="0" fillId="5" borderId="1" xfId="0" applyFont="1" applyFill="1" applyBorder="1" applyAlignment="1">
      <alignment vertical="center" wrapText="1"/>
    </xf>
    <xf numFmtId="0" fontId="0" fillId="0" borderId="1" xfId="0" applyBorder="1">
      <alignment vertical="center"/>
    </xf>
    <xf numFmtId="0" fontId="8" fillId="3" borderId="10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8" fillId="3" borderId="38" xfId="0" applyFont="1" applyFill="1" applyBorder="1" applyAlignment="1" applyProtection="1">
      <alignment horizontal="center" vertical="center" wrapText="1"/>
      <protection locked="0"/>
    </xf>
    <xf numFmtId="0" fontId="8" fillId="3" borderId="69" xfId="0" applyFont="1" applyFill="1" applyBorder="1" applyAlignment="1" applyProtection="1">
      <alignment horizontal="center" vertical="center" wrapText="1"/>
      <protection locked="0"/>
    </xf>
    <xf numFmtId="0" fontId="8" fillId="3" borderId="72" xfId="0" applyFont="1" applyFill="1" applyBorder="1" applyAlignment="1" applyProtection="1">
      <alignment horizontal="center" vertical="center" wrapText="1"/>
      <protection locked="0"/>
    </xf>
    <xf numFmtId="0" fontId="1" fillId="7" borderId="17" xfId="0" applyFont="1" applyFill="1" applyBorder="1" applyAlignment="1" applyProtection="1">
      <alignment vertical="center" wrapText="1"/>
      <protection locked="0"/>
    </xf>
    <xf numFmtId="0" fontId="1" fillId="7" borderId="1" xfId="0" applyFont="1" applyFill="1" applyBorder="1" applyAlignment="1" applyProtection="1">
      <alignment vertical="center" wrapText="1"/>
      <protection locked="0"/>
    </xf>
    <xf numFmtId="0" fontId="1" fillId="7" borderId="1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1" fillId="5" borderId="33" xfId="0" applyFont="1" applyFill="1" applyBorder="1" applyAlignment="1" applyProtection="1">
      <alignment horizontal="left" vertical="center" wrapText="1"/>
    </xf>
    <xf numFmtId="0" fontId="1" fillId="5" borderId="39" xfId="0" applyFont="1" applyFill="1" applyBorder="1" applyAlignment="1" applyProtection="1">
      <alignment vertical="center" wrapText="1"/>
    </xf>
    <xf numFmtId="0" fontId="1" fillId="5" borderId="17" xfId="0" applyFont="1" applyFill="1" applyBorder="1" applyAlignment="1" applyProtection="1">
      <alignment horizontal="center" vertical="center" wrapText="1"/>
    </xf>
    <xf numFmtId="0" fontId="1" fillId="5" borderId="34" xfId="0" applyFont="1" applyFill="1" applyBorder="1" applyAlignment="1" applyProtection="1">
      <alignment horizontal="left" vertical="center" wrapText="1"/>
    </xf>
    <xf numFmtId="0" fontId="1" fillId="5" borderId="20" xfId="0" applyFont="1" applyFill="1" applyBorder="1" applyAlignment="1" applyProtection="1">
      <alignment vertical="center" wrapText="1"/>
    </xf>
    <xf numFmtId="0" fontId="1" fillId="5" borderId="20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 applyProtection="1">
      <alignment horizontal="center" vertical="center" wrapText="1"/>
    </xf>
    <xf numFmtId="0" fontId="1" fillId="5" borderId="18" xfId="0" applyFont="1" applyFill="1" applyBorder="1" applyAlignment="1" applyProtection="1">
      <alignment horizontal="justify" vertical="center" wrapText="1"/>
    </xf>
    <xf numFmtId="0" fontId="1" fillId="5" borderId="1" xfId="0" applyFont="1" applyFill="1" applyBorder="1" applyAlignment="1" applyProtection="1">
      <alignment horizontal="justify" vertical="center" wrapText="1"/>
    </xf>
    <xf numFmtId="0" fontId="0" fillId="5" borderId="1" xfId="0" applyFont="1" applyFill="1" applyBorder="1" applyAlignment="1" applyProtection="1">
      <alignment horizontal="justify" vertical="center" wrapText="1"/>
    </xf>
    <xf numFmtId="0" fontId="0" fillId="5" borderId="20" xfId="0" applyFont="1" applyFill="1" applyBorder="1" applyAlignment="1" applyProtection="1">
      <alignment horizontal="justify" vertical="center" wrapText="1"/>
    </xf>
    <xf numFmtId="0" fontId="1" fillId="5" borderId="20" xfId="0" applyFont="1" applyFill="1" applyBorder="1" applyAlignment="1" applyProtection="1">
      <alignment horizontal="justify" vertical="center" wrapText="1"/>
    </xf>
    <xf numFmtId="0" fontId="1" fillId="5" borderId="14" xfId="0" applyFont="1" applyFill="1" applyBorder="1" applyAlignment="1" applyProtection="1">
      <alignment horizontal="justify" vertical="center" wrapText="1"/>
    </xf>
    <xf numFmtId="0" fontId="1" fillId="5" borderId="2" xfId="0" applyFont="1" applyFill="1" applyBorder="1" applyAlignment="1" applyProtection="1">
      <alignment horizontal="justify" vertical="center" wrapText="1"/>
    </xf>
    <xf numFmtId="0" fontId="0" fillId="5" borderId="15" xfId="0" applyFont="1" applyFill="1" applyBorder="1" applyAlignment="1" applyProtection="1">
      <alignment vertical="center" wrapText="1"/>
    </xf>
    <xf numFmtId="0" fontId="1" fillId="5" borderId="5" xfId="0" applyFont="1" applyFill="1" applyBorder="1" applyAlignment="1" applyProtection="1">
      <alignment vertical="center" wrapText="1"/>
    </xf>
    <xf numFmtId="0" fontId="1" fillId="5" borderId="15" xfId="0" applyFont="1" applyFill="1" applyBorder="1" applyAlignment="1" applyProtection="1">
      <alignment vertical="center" wrapText="1"/>
    </xf>
    <xf numFmtId="177" fontId="8" fillId="4" borderId="10" xfId="1" applyNumberFormat="1" applyFont="1" applyFill="1" applyBorder="1" applyAlignment="1" applyProtection="1">
      <alignment horizontal="center" vertical="center" wrapText="1"/>
    </xf>
    <xf numFmtId="185" fontId="8" fillId="9" borderId="10" xfId="0" applyNumberFormat="1" applyFont="1" applyFill="1" applyBorder="1" applyAlignment="1" applyProtection="1">
      <alignment horizontal="center" vertical="center"/>
    </xf>
    <xf numFmtId="0" fontId="0" fillId="5" borderId="36" xfId="0" applyFont="1" applyFill="1" applyBorder="1" applyAlignment="1" applyProtection="1">
      <alignment vertical="center" wrapText="1"/>
    </xf>
    <xf numFmtId="0" fontId="8" fillId="9" borderId="50" xfId="0" applyFont="1" applyFill="1" applyBorder="1" applyAlignment="1" applyProtection="1">
      <alignment horizontal="center" vertical="center"/>
    </xf>
    <xf numFmtId="0" fontId="0" fillId="5" borderId="26" xfId="0" applyFont="1" applyFill="1" applyBorder="1" applyAlignment="1" applyProtection="1">
      <alignment vertical="center" wrapText="1"/>
    </xf>
    <xf numFmtId="0" fontId="0" fillId="5" borderId="24" xfId="0" applyFont="1" applyFill="1" applyBorder="1" applyAlignment="1" applyProtection="1">
      <alignment horizontal="justify" vertical="center" wrapText="1"/>
    </xf>
    <xf numFmtId="177" fontId="8" fillId="4" borderId="19" xfId="1" applyNumberFormat="1" applyFont="1" applyFill="1" applyBorder="1" applyAlignment="1" applyProtection="1">
      <alignment horizontal="center" vertical="center" wrapText="1"/>
    </xf>
    <xf numFmtId="0" fontId="0" fillId="5" borderId="14" xfId="0" applyFont="1" applyFill="1" applyBorder="1" applyAlignment="1" applyProtection="1">
      <alignment horizontal="justify" vertical="center" wrapText="1"/>
    </xf>
    <xf numFmtId="0" fontId="0" fillId="5" borderId="2" xfId="0" applyFont="1" applyFill="1" applyBorder="1" applyAlignment="1" applyProtection="1">
      <alignment horizontal="justify" vertical="center" wrapText="1"/>
    </xf>
    <xf numFmtId="0" fontId="8" fillId="9" borderId="38" xfId="0" applyFont="1" applyFill="1" applyBorder="1" applyAlignment="1" applyProtection="1">
      <alignment horizontal="center" vertical="center"/>
    </xf>
    <xf numFmtId="0" fontId="0" fillId="5" borderId="37" xfId="0" applyFont="1" applyFill="1" applyBorder="1" applyAlignment="1" applyProtection="1">
      <alignment horizontal="left" vertical="top" wrapText="1"/>
    </xf>
    <xf numFmtId="0" fontId="0" fillId="5" borderId="70" xfId="0" applyFont="1" applyFill="1" applyBorder="1" applyAlignment="1" applyProtection="1">
      <alignment horizontal="justify" vertical="center" wrapText="1"/>
    </xf>
    <xf numFmtId="0" fontId="8" fillId="9" borderId="71" xfId="0" applyFont="1" applyFill="1" applyBorder="1" applyAlignment="1" applyProtection="1">
      <alignment horizontal="center" vertical="center"/>
    </xf>
    <xf numFmtId="0" fontId="1" fillId="0" borderId="32" xfId="0" applyFont="1" applyFill="1" applyBorder="1" applyAlignment="1" applyProtection="1">
      <alignment vertical="center" wrapText="1"/>
    </xf>
    <xf numFmtId="0" fontId="1" fillId="0" borderId="35" xfId="0" applyFont="1" applyFill="1" applyBorder="1" applyAlignment="1" applyProtection="1">
      <alignment horizontal="left" vertical="center" wrapText="1"/>
    </xf>
    <xf numFmtId="0" fontId="8" fillId="9" borderId="3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 wrapText="1"/>
    </xf>
    <xf numFmtId="20" fontId="0" fillId="0" borderId="0" xfId="0" applyNumberFormat="1" applyProtection="1">
      <alignment vertical="center"/>
    </xf>
    <xf numFmtId="20" fontId="0" fillId="0" borderId="0" xfId="0" applyNumberFormat="1" applyAlignment="1" applyProtection="1">
      <alignment vertical="center" wrapText="1"/>
    </xf>
    <xf numFmtId="0" fontId="1" fillId="3" borderId="17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1" xfId="0" applyFill="1" applyBorder="1" applyAlignment="1" applyProtection="1">
      <alignment horizontal="center" vertical="center"/>
    </xf>
    <xf numFmtId="0" fontId="1" fillId="3" borderId="25" xfId="0" applyFont="1" applyFill="1" applyBorder="1" applyAlignment="1" applyProtection="1">
      <alignment horizontal="center" vertical="center" wrapText="1"/>
      <protection locked="0"/>
    </xf>
    <xf numFmtId="0" fontId="1" fillId="3" borderId="36" xfId="0" applyFont="1" applyFill="1" applyBorder="1" applyAlignment="1" applyProtection="1">
      <alignment horizontal="center" vertical="center" wrapText="1"/>
      <protection locked="0"/>
    </xf>
    <xf numFmtId="0" fontId="1" fillId="5" borderId="39" xfId="0" applyFont="1" applyFill="1" applyBorder="1" applyAlignment="1" applyProtection="1">
      <alignment horizontal="center" vertical="center" wrapText="1"/>
    </xf>
    <xf numFmtId="0" fontId="1" fillId="5" borderId="48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3" borderId="49" xfId="0" applyFont="1" applyFill="1" applyBorder="1" applyAlignment="1" applyProtection="1">
      <alignment horizontal="center" vertical="center" wrapText="1"/>
      <protection locked="0"/>
    </xf>
    <xf numFmtId="0" fontId="1" fillId="3" borderId="5" xfId="0" applyFont="1" applyFill="1" applyBorder="1" applyAlignment="1" applyProtection="1">
      <alignment horizontal="center" vertical="center" wrapText="1"/>
      <protection locked="0"/>
    </xf>
    <xf numFmtId="0" fontId="1" fillId="3" borderId="50" xfId="0" applyFont="1" applyFill="1" applyBorder="1" applyAlignment="1" applyProtection="1">
      <alignment horizontal="center" vertical="center" wrapText="1"/>
      <protection locked="0"/>
    </xf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1" fillId="3" borderId="51" xfId="0" applyFont="1" applyFill="1" applyBorder="1" applyAlignment="1" applyProtection="1">
      <alignment horizontal="center" vertical="center" wrapText="1"/>
      <protection locked="0"/>
    </xf>
    <xf numFmtId="0" fontId="0" fillId="5" borderId="1" xfId="0" applyFont="1" applyFill="1" applyBorder="1" applyAlignment="1" applyProtection="1">
      <alignment horizontal="justify" vertical="center" wrapText="1"/>
    </xf>
    <xf numFmtId="0" fontId="1" fillId="5" borderId="1" xfId="0" applyFont="1" applyFill="1" applyBorder="1" applyAlignment="1" applyProtection="1">
      <alignment horizontal="justify" vertical="center" wrapText="1"/>
    </xf>
    <xf numFmtId="0" fontId="1" fillId="5" borderId="42" xfId="0" applyFont="1" applyFill="1" applyBorder="1" applyAlignment="1" applyProtection="1">
      <alignment horizontal="left" vertical="center" wrapText="1"/>
    </xf>
    <xf numFmtId="0" fontId="1" fillId="5" borderId="43" xfId="0" applyFont="1" applyFill="1" applyBorder="1" applyAlignment="1" applyProtection="1">
      <alignment horizontal="left" vertical="center" wrapText="1"/>
    </xf>
    <xf numFmtId="0" fontId="1" fillId="5" borderId="46" xfId="0" applyFont="1" applyFill="1" applyBorder="1" applyAlignment="1" applyProtection="1">
      <alignment horizontal="left" vertical="center" wrapText="1"/>
    </xf>
    <xf numFmtId="0" fontId="1" fillId="5" borderId="25" xfId="0" applyFont="1" applyFill="1" applyBorder="1" applyAlignment="1" applyProtection="1">
      <alignment horizontal="justify" vertical="center" wrapText="1"/>
    </xf>
    <xf numFmtId="0" fontId="1" fillId="5" borderId="47" xfId="0" applyFont="1" applyFill="1" applyBorder="1" applyAlignment="1" applyProtection="1">
      <alignment horizontal="justify" vertical="center" wrapText="1"/>
    </xf>
    <xf numFmtId="0" fontId="1" fillId="5" borderId="20" xfId="0" applyFont="1" applyFill="1" applyBorder="1" applyAlignment="1" applyProtection="1">
      <alignment horizontal="left" vertical="center" wrapText="1"/>
    </xf>
    <xf numFmtId="0" fontId="1" fillId="5" borderId="22" xfId="0" applyFont="1" applyFill="1" applyBorder="1" applyAlignment="1" applyProtection="1">
      <alignment horizontal="left" vertical="center" wrapText="1"/>
    </xf>
    <xf numFmtId="0" fontId="0" fillId="5" borderId="2" xfId="0" applyFont="1" applyFill="1" applyBorder="1" applyAlignment="1" applyProtection="1">
      <alignment horizontal="left" vertical="center" wrapText="1"/>
    </xf>
    <xf numFmtId="0" fontId="1" fillId="5" borderId="3" xfId="0" applyFont="1" applyFill="1" applyBorder="1" applyAlignment="1" applyProtection="1">
      <alignment horizontal="left" vertical="center" wrapText="1"/>
    </xf>
    <xf numFmtId="0" fontId="1" fillId="5" borderId="5" xfId="0" applyFont="1" applyFill="1" applyBorder="1" applyAlignment="1" applyProtection="1">
      <alignment horizontal="left" vertical="center" wrapText="1"/>
    </xf>
    <xf numFmtId="0" fontId="1" fillId="5" borderId="0" xfId="0" applyFont="1" applyFill="1" applyBorder="1" applyAlignment="1" applyProtection="1">
      <alignment horizontal="left" vertical="center" wrapText="1"/>
    </xf>
    <xf numFmtId="0" fontId="1" fillId="5" borderId="7" xfId="0" applyFont="1" applyFill="1" applyBorder="1" applyAlignment="1" applyProtection="1">
      <alignment horizontal="left" vertical="center" wrapText="1"/>
    </xf>
    <xf numFmtId="0" fontId="1" fillId="5" borderId="8" xfId="0" applyFont="1" applyFill="1" applyBorder="1" applyAlignment="1" applyProtection="1">
      <alignment horizontal="left" vertical="center" wrapText="1"/>
    </xf>
    <xf numFmtId="0" fontId="1" fillId="5" borderId="15" xfId="0" applyFont="1" applyFill="1" applyBorder="1" applyAlignment="1" applyProtection="1">
      <alignment horizontal="justify" vertical="center" wrapText="1"/>
    </xf>
    <xf numFmtId="0" fontId="1" fillId="5" borderId="44" xfId="0" applyFont="1" applyFill="1" applyBorder="1" applyAlignment="1" applyProtection="1">
      <alignment horizontal="left" vertical="center" wrapText="1"/>
    </xf>
    <xf numFmtId="0" fontId="1" fillId="5" borderId="25" xfId="0" applyFont="1" applyFill="1" applyBorder="1" applyAlignment="1" applyProtection="1">
      <alignment horizontal="left" vertical="center" wrapText="1"/>
    </xf>
    <xf numFmtId="0" fontId="1" fillId="5" borderId="45" xfId="0" applyFont="1" applyFill="1" applyBorder="1" applyAlignment="1" applyProtection="1">
      <alignment horizontal="left" vertical="center" wrapText="1"/>
    </xf>
    <xf numFmtId="0" fontId="1" fillId="5" borderId="37" xfId="0" applyFont="1" applyFill="1" applyBorder="1" applyAlignment="1" applyProtection="1">
      <alignment horizontal="justify" vertical="center" wrapText="1"/>
    </xf>
    <xf numFmtId="0" fontId="1" fillId="5" borderId="25" xfId="0" applyFont="1" applyFill="1" applyBorder="1" applyAlignment="1" applyProtection="1">
      <alignment horizontal="center" vertical="center" wrapText="1"/>
    </xf>
    <xf numFmtId="0" fontId="1" fillId="5" borderId="36" xfId="0" applyFont="1" applyFill="1" applyBorder="1" applyAlignment="1" applyProtection="1">
      <alignment horizontal="center" vertical="center" wrapText="1"/>
    </xf>
    <xf numFmtId="0" fontId="1" fillId="5" borderId="47" xfId="0" applyFont="1" applyFill="1" applyBorder="1" applyAlignment="1" applyProtection="1">
      <alignment horizontal="center" vertical="center" wrapText="1"/>
    </xf>
    <xf numFmtId="0" fontId="1" fillId="0" borderId="40" xfId="0" applyFont="1" applyFill="1" applyBorder="1" applyAlignment="1" applyProtection="1">
      <alignment horizontal="left" vertical="center" wrapText="1"/>
    </xf>
    <xf numFmtId="0" fontId="1" fillId="0" borderId="35" xfId="0" applyFont="1" applyFill="1" applyBorder="1" applyAlignment="1" applyProtection="1">
      <alignment horizontal="left" vertical="center" wrapText="1"/>
    </xf>
    <xf numFmtId="0" fontId="1" fillId="0" borderId="41" xfId="0" applyFont="1" applyFill="1" applyBorder="1" applyAlignment="1" applyProtection="1">
      <alignment horizontal="left" vertical="center" wrapText="1"/>
    </xf>
    <xf numFmtId="0" fontId="1" fillId="5" borderId="36" xfId="0" applyFont="1" applyFill="1" applyBorder="1" applyAlignment="1" applyProtection="1">
      <alignment horizontal="justify" vertical="center" wrapText="1"/>
    </xf>
    <xf numFmtId="0" fontId="0" fillId="5" borderId="26" xfId="0" applyFont="1" applyFill="1" applyBorder="1" applyAlignment="1" applyProtection="1">
      <alignment horizontal="justify" vertical="center" wrapText="1"/>
    </xf>
    <xf numFmtId="0" fontId="1" fillId="5" borderId="26" xfId="0" applyFont="1" applyFill="1" applyBorder="1" applyAlignment="1" applyProtection="1">
      <alignment horizontal="justify" vertical="center" wrapText="1"/>
    </xf>
    <xf numFmtId="0" fontId="1" fillId="2" borderId="18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8" borderId="20" xfId="0" applyFill="1" applyBorder="1" applyAlignment="1" applyProtection="1">
      <alignment horizontal="center" vertical="center"/>
    </xf>
    <xf numFmtId="0" fontId="0" fillId="8" borderId="22" xfId="0" applyFill="1" applyBorder="1" applyAlignment="1" applyProtection="1">
      <alignment horizontal="center" vertical="center"/>
    </xf>
    <xf numFmtId="0" fontId="0" fillId="2" borderId="25" xfId="0" applyFont="1" applyFill="1" applyBorder="1" applyAlignment="1" applyProtection="1">
      <alignment horizontal="center" vertical="center" wrapText="1"/>
    </xf>
    <xf numFmtId="0" fontId="1" fillId="2" borderId="47" xfId="0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8" fillId="7" borderId="20" xfId="0" applyFont="1" applyFill="1" applyBorder="1" applyAlignment="1" applyProtection="1">
      <alignment horizontal="center" vertical="center" wrapText="1"/>
      <protection locked="0"/>
    </xf>
    <xf numFmtId="0" fontId="8" fillId="7" borderId="22" xfId="0" applyFont="1" applyFill="1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horizontal="left" vertical="center"/>
    </xf>
    <xf numFmtId="0" fontId="0" fillId="0" borderId="21" xfId="0" applyBorder="1" applyAlignment="1" applyProtection="1">
      <alignment horizontal="left" vertical="center"/>
    </xf>
    <xf numFmtId="0" fontId="0" fillId="0" borderId="22" xfId="0" applyBorder="1" applyAlignment="1" applyProtection="1">
      <alignment horizontal="left" vertical="center"/>
    </xf>
    <xf numFmtId="40" fontId="0" fillId="3" borderId="52" xfId="3" applyNumberFormat="1" applyFont="1" applyFill="1" applyBorder="1" applyAlignment="1" applyProtection="1">
      <alignment horizontal="right" vertical="center"/>
      <protection locked="0"/>
    </xf>
    <xf numFmtId="40" fontId="0" fillId="3" borderId="53" xfId="3" applyNumberFormat="1" applyFont="1" applyFill="1" applyBorder="1" applyAlignment="1" applyProtection="1">
      <alignment horizontal="right" vertical="center"/>
      <protection locked="0"/>
    </xf>
    <xf numFmtId="40" fontId="0" fillId="3" borderId="54" xfId="3" applyNumberFormat="1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top"/>
    </xf>
    <xf numFmtId="0" fontId="0" fillId="3" borderId="52" xfId="0" applyFill="1" applyBorder="1" applyAlignment="1" applyProtection="1">
      <alignment horizontal="center" vertical="center"/>
    </xf>
    <xf numFmtId="0" fontId="0" fillId="3" borderId="53" xfId="0" applyFill="1" applyBorder="1" applyAlignment="1" applyProtection="1">
      <alignment horizontal="center" vertical="center"/>
    </xf>
    <xf numFmtId="0" fontId="0" fillId="3" borderId="54" xfId="0" applyFill="1" applyBorder="1" applyAlignment="1" applyProtection="1">
      <alignment horizontal="center" vertical="center"/>
    </xf>
    <xf numFmtId="179" fontId="0" fillId="0" borderId="20" xfId="3" applyNumberFormat="1" applyFont="1" applyBorder="1" applyAlignment="1" applyProtection="1">
      <alignment horizontal="right" vertical="center"/>
    </xf>
    <xf numFmtId="179" fontId="0" fillId="0" borderId="21" xfId="3" applyNumberFormat="1" applyFont="1" applyBorder="1" applyAlignment="1" applyProtection="1">
      <alignment horizontal="right" vertical="center"/>
    </xf>
    <xf numFmtId="179" fontId="0" fillId="0" borderId="22" xfId="3" applyNumberFormat="1" applyFont="1" applyBorder="1" applyAlignment="1" applyProtection="1">
      <alignment horizontal="right" vertical="center"/>
    </xf>
    <xf numFmtId="0" fontId="0" fillId="4" borderId="20" xfId="0" applyFill="1" applyBorder="1" applyAlignment="1" applyProtection="1">
      <alignment horizontal="left" vertical="center" wrapText="1"/>
    </xf>
    <xf numFmtId="0" fontId="0" fillId="4" borderId="21" xfId="0" applyFill="1" applyBorder="1" applyAlignment="1" applyProtection="1">
      <alignment horizontal="left" vertical="center" wrapText="1"/>
    </xf>
    <xf numFmtId="0" fontId="0" fillId="4" borderId="22" xfId="0" applyFill="1" applyBorder="1" applyAlignment="1" applyProtection="1">
      <alignment horizontal="left" vertical="center" wrapText="1"/>
    </xf>
    <xf numFmtId="176" fontId="0" fillId="4" borderId="20" xfId="1" applyNumberFormat="1" applyFont="1" applyFill="1" applyBorder="1" applyAlignment="1" applyProtection="1">
      <alignment horizontal="right" vertical="center" wrapText="1"/>
    </xf>
    <xf numFmtId="176" fontId="0" fillId="4" borderId="21" xfId="1" applyNumberFormat="1" applyFont="1" applyFill="1" applyBorder="1" applyAlignment="1" applyProtection="1">
      <alignment horizontal="right" vertical="center" wrapText="1"/>
    </xf>
    <xf numFmtId="176" fontId="0" fillId="4" borderId="22" xfId="1" applyNumberFormat="1" applyFont="1" applyFill="1" applyBorder="1" applyAlignment="1" applyProtection="1">
      <alignment horizontal="right" vertical="center" wrapText="1"/>
    </xf>
    <xf numFmtId="0" fontId="0" fillId="0" borderId="20" xfId="0" applyBorder="1" applyAlignment="1" applyProtection="1">
      <alignment horizontal="center" vertical="center"/>
    </xf>
    <xf numFmtId="0" fontId="0" fillId="0" borderId="21" xfId="0" applyBorder="1" applyAlignment="1" applyProtection="1">
      <alignment horizontal="center" vertical="center"/>
    </xf>
    <xf numFmtId="0" fontId="0" fillId="0" borderId="22" xfId="0" applyBorder="1" applyAlignment="1" applyProtection="1">
      <alignment horizontal="center" vertical="center"/>
    </xf>
    <xf numFmtId="0" fontId="0" fillId="4" borderId="55" xfId="0" applyFill="1" applyBorder="1" applyAlignment="1" applyProtection="1">
      <alignment horizontal="center" vertical="center"/>
    </xf>
    <xf numFmtId="0" fontId="0" fillId="4" borderId="56" xfId="0" applyFill="1" applyBorder="1" applyAlignment="1" applyProtection="1">
      <alignment horizontal="center" vertical="center"/>
    </xf>
    <xf numFmtId="0" fontId="0" fillId="4" borderId="57" xfId="0" applyFill="1" applyBorder="1" applyAlignment="1" applyProtection="1">
      <alignment horizontal="center" vertical="center"/>
    </xf>
    <xf numFmtId="0" fontId="0" fillId="4" borderId="58" xfId="0" applyFill="1" applyBorder="1" applyAlignment="1" applyProtection="1">
      <alignment horizontal="center" vertical="center"/>
    </xf>
    <xf numFmtId="0" fontId="0" fillId="3" borderId="55" xfId="0" applyFill="1" applyBorder="1" applyAlignment="1" applyProtection="1">
      <alignment horizontal="center" vertical="center"/>
      <protection locked="0"/>
    </xf>
    <xf numFmtId="0" fontId="0" fillId="3" borderId="56" xfId="0" applyFill="1" applyBorder="1" applyAlignment="1" applyProtection="1">
      <alignment horizontal="center" vertical="center"/>
      <protection locked="0"/>
    </xf>
    <xf numFmtId="0" fontId="0" fillId="3" borderId="57" xfId="0" applyFill="1" applyBorder="1" applyAlignment="1" applyProtection="1">
      <alignment horizontal="center" vertical="center"/>
      <protection locked="0"/>
    </xf>
    <xf numFmtId="0" fontId="0" fillId="3" borderId="58" xfId="0" applyFill="1" applyBorder="1" applyAlignment="1" applyProtection="1">
      <alignment horizontal="center" vertical="center"/>
      <protection locked="0"/>
    </xf>
    <xf numFmtId="0" fontId="9" fillId="6" borderId="0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  <xf numFmtId="0" fontId="0" fillId="0" borderId="23" xfId="0" applyBorder="1" applyAlignment="1" applyProtection="1">
      <alignment horizontal="center" vertical="center"/>
    </xf>
    <xf numFmtId="0" fontId="0" fillId="0" borderId="60" xfId="0" applyBorder="1" applyAlignment="1" applyProtection="1">
      <alignment horizontal="center" vertical="center"/>
    </xf>
    <xf numFmtId="0" fontId="0" fillId="0" borderId="28" xfId="0" applyBorder="1" applyAlignment="1" applyProtection="1">
      <alignment horizontal="center" vertical="center"/>
    </xf>
    <xf numFmtId="181" fontId="0" fillId="4" borderId="52" xfId="3" applyNumberFormat="1" applyFont="1" applyFill="1" applyBorder="1" applyAlignment="1" applyProtection="1">
      <alignment horizontal="right" vertical="center"/>
    </xf>
    <xf numFmtId="181" fontId="0" fillId="4" borderId="53" xfId="3" applyNumberFormat="1" applyFont="1" applyFill="1" applyBorder="1" applyAlignment="1" applyProtection="1">
      <alignment horizontal="right" vertical="center"/>
    </xf>
    <xf numFmtId="181" fontId="0" fillId="4" borderId="54" xfId="3" applyNumberFormat="1" applyFont="1" applyFill="1" applyBorder="1" applyAlignment="1" applyProtection="1">
      <alignment horizontal="right" vertical="center"/>
    </xf>
    <xf numFmtId="0" fontId="0" fillId="4" borderId="1" xfId="0" applyFill="1" applyBorder="1" applyAlignment="1" applyProtection="1">
      <alignment horizontal="center" vertical="center"/>
    </xf>
    <xf numFmtId="0" fontId="0" fillId="0" borderId="61" xfId="0" applyBorder="1" applyAlignment="1" applyProtection="1">
      <alignment horizontal="center" vertical="center"/>
    </xf>
    <xf numFmtId="181" fontId="0" fillId="3" borderId="52" xfId="3" applyNumberFormat="1" applyFont="1" applyFill="1" applyBorder="1" applyAlignment="1" applyProtection="1">
      <alignment horizontal="right" vertical="center"/>
      <protection locked="0"/>
    </xf>
    <xf numFmtId="181" fontId="0" fillId="3" borderId="53" xfId="3" applyNumberFormat="1" applyFont="1" applyFill="1" applyBorder="1" applyAlignment="1" applyProtection="1">
      <alignment horizontal="right" vertical="center"/>
      <protection locked="0"/>
    </xf>
    <xf numFmtId="181" fontId="0" fillId="3" borderId="54" xfId="3" applyNumberFormat="1" applyFont="1" applyFill="1" applyBorder="1" applyAlignment="1" applyProtection="1">
      <alignment horizontal="right" vertical="center"/>
      <protection locked="0"/>
    </xf>
    <xf numFmtId="0" fontId="0" fillId="4" borderId="20" xfId="0" applyFill="1" applyBorder="1" applyAlignment="1" applyProtection="1">
      <alignment horizontal="center" vertical="center"/>
    </xf>
    <xf numFmtId="0" fontId="0" fillId="4" borderId="21" xfId="0" applyFill="1" applyBorder="1" applyAlignment="1" applyProtection="1">
      <alignment horizontal="center" vertical="center"/>
    </xf>
    <xf numFmtId="0" fontId="0" fillId="4" borderId="22" xfId="0" applyFill="1" applyBorder="1" applyAlignment="1" applyProtection="1">
      <alignment horizontal="center" vertical="center"/>
    </xf>
    <xf numFmtId="181" fontId="0" fillId="0" borderId="66" xfId="3" applyNumberFormat="1" applyFont="1" applyFill="1" applyBorder="1" applyAlignment="1" applyProtection="1">
      <alignment horizontal="right" vertical="center"/>
    </xf>
    <xf numFmtId="181" fontId="0" fillId="0" borderId="67" xfId="3" applyNumberFormat="1" applyFont="1" applyFill="1" applyBorder="1" applyAlignment="1" applyProtection="1">
      <alignment horizontal="right" vertical="center"/>
    </xf>
    <xf numFmtId="181" fontId="0" fillId="0" borderId="68" xfId="3" applyNumberFormat="1" applyFont="1" applyFill="1" applyBorder="1" applyAlignment="1" applyProtection="1">
      <alignment horizontal="right" vertical="center"/>
    </xf>
    <xf numFmtId="181" fontId="0" fillId="0" borderId="61" xfId="3" applyNumberFormat="1" applyFont="1" applyFill="1" applyBorder="1" applyAlignment="1" applyProtection="1">
      <alignment horizontal="right" vertical="center"/>
    </xf>
    <xf numFmtId="181" fontId="0" fillId="2" borderId="0" xfId="3" applyNumberFormat="1" applyFont="1" applyFill="1" applyBorder="1" applyAlignment="1" applyProtection="1">
      <alignment horizontal="right" vertical="center"/>
    </xf>
    <xf numFmtId="181" fontId="0" fillId="0" borderId="23" xfId="3" applyNumberFormat="1" applyFont="1" applyFill="1" applyBorder="1" applyAlignment="1" applyProtection="1">
      <alignment horizontal="right" vertical="center"/>
    </xf>
    <xf numFmtId="181" fontId="0" fillId="0" borderId="60" xfId="3" applyNumberFormat="1" applyFont="1" applyFill="1" applyBorder="1" applyAlignment="1" applyProtection="1">
      <alignment horizontal="right" vertical="center"/>
    </xf>
    <xf numFmtId="181" fontId="0" fillId="0" borderId="28" xfId="3" applyNumberFormat="1" applyFont="1" applyFill="1" applyBorder="1" applyAlignment="1" applyProtection="1">
      <alignment horizontal="right" vertical="center"/>
    </xf>
    <xf numFmtId="181" fontId="6" fillId="2" borderId="0" xfId="3" applyNumberFormat="1" applyFont="1" applyFill="1" applyAlignment="1" applyProtection="1">
      <alignment horizontal="right" vertical="top"/>
    </xf>
    <xf numFmtId="178" fontId="0" fillId="0" borderId="23" xfId="0" applyNumberFormat="1" applyBorder="1" applyAlignment="1" applyProtection="1">
      <alignment horizontal="right" vertical="center"/>
    </xf>
    <xf numFmtId="178" fontId="0" fillId="0" borderId="60" xfId="0" applyNumberFormat="1" applyBorder="1" applyAlignment="1" applyProtection="1">
      <alignment horizontal="right" vertical="center"/>
    </xf>
    <xf numFmtId="178" fontId="0" fillId="0" borderId="28" xfId="0" applyNumberFormat="1" applyBorder="1" applyAlignment="1" applyProtection="1">
      <alignment horizontal="right" vertical="center"/>
    </xf>
    <xf numFmtId="178" fontId="0" fillId="0" borderId="63" xfId="0" applyNumberFormat="1" applyBorder="1" applyAlignment="1" applyProtection="1">
      <alignment horizontal="right" vertical="center"/>
    </xf>
    <xf numFmtId="178" fontId="0" fillId="0" borderId="64" xfId="0" applyNumberFormat="1" applyBorder="1" applyAlignment="1" applyProtection="1">
      <alignment horizontal="right" vertical="center"/>
    </xf>
    <xf numFmtId="178" fontId="0" fillId="0" borderId="65" xfId="0" applyNumberFormat="1" applyBorder="1" applyAlignment="1" applyProtection="1">
      <alignment horizontal="right" vertical="center"/>
    </xf>
    <xf numFmtId="178" fontId="0" fillId="4" borderId="20" xfId="0" applyNumberFormat="1" applyFill="1" applyBorder="1" applyAlignment="1" applyProtection="1">
      <alignment horizontal="right" vertical="center"/>
    </xf>
    <xf numFmtId="178" fontId="0" fillId="4" borderId="21" xfId="0" applyNumberFormat="1" applyFill="1" applyBorder="1" applyAlignment="1" applyProtection="1">
      <alignment horizontal="right" vertical="center"/>
    </xf>
    <xf numFmtId="178" fontId="0" fillId="4" borderId="22" xfId="0" applyNumberFormat="1" applyFill="1" applyBorder="1" applyAlignment="1" applyProtection="1">
      <alignment horizontal="right" vertical="center"/>
    </xf>
    <xf numFmtId="181" fontId="2" fillId="2" borderId="0" xfId="3" applyNumberFormat="1" applyFont="1" applyFill="1" applyAlignment="1" applyProtection="1">
      <alignment horizontal="right" vertical="center"/>
    </xf>
    <xf numFmtId="181" fontId="0" fillId="0" borderId="26" xfId="3" applyNumberFormat="1" applyFont="1" applyFill="1" applyBorder="1" applyAlignment="1" applyProtection="1">
      <alignment horizontal="right" vertical="center"/>
    </xf>
    <xf numFmtId="0" fontId="0" fillId="0" borderId="15" xfId="0" applyBorder="1" applyAlignment="1" applyProtection="1">
      <alignment horizontal="center" vertical="center"/>
    </xf>
    <xf numFmtId="0" fontId="0" fillId="0" borderId="23" xfId="0" applyBorder="1" applyAlignment="1" applyProtection="1">
      <alignment horizontal="left" vertical="center"/>
    </xf>
    <xf numFmtId="0" fontId="0" fillId="0" borderId="60" xfId="0" applyBorder="1" applyAlignment="1" applyProtection="1">
      <alignment horizontal="left" vertical="center"/>
    </xf>
    <xf numFmtId="0" fontId="0" fillId="0" borderId="28" xfId="0" applyBorder="1" applyAlignment="1" applyProtection="1">
      <alignment horizontal="left" vertical="center"/>
    </xf>
    <xf numFmtId="0" fontId="0" fillId="4" borderId="1" xfId="0" applyFill="1" applyBorder="1" applyAlignment="1" applyProtection="1">
      <alignment horizontal="left" vertical="center"/>
    </xf>
    <xf numFmtId="0" fontId="0" fillId="0" borderId="63" xfId="0" applyBorder="1" applyAlignment="1" applyProtection="1">
      <alignment horizontal="left" vertical="center"/>
    </xf>
    <xf numFmtId="0" fontId="0" fillId="0" borderId="64" xfId="0" applyBorder="1" applyAlignment="1" applyProtection="1">
      <alignment horizontal="left" vertical="center"/>
    </xf>
    <xf numFmtId="0" fontId="0" fillId="0" borderId="65" xfId="0" applyBorder="1" applyAlignment="1" applyProtection="1">
      <alignment horizontal="left" vertical="center"/>
    </xf>
    <xf numFmtId="181" fontId="0" fillId="4" borderId="20" xfId="3" applyNumberFormat="1" applyFont="1" applyFill="1" applyBorder="1" applyAlignment="1" applyProtection="1">
      <alignment horizontal="right" vertical="center"/>
    </xf>
    <xf numFmtId="181" fontId="0" fillId="4" borderId="21" xfId="3" applyNumberFormat="1" applyFont="1" applyFill="1" applyBorder="1" applyAlignment="1" applyProtection="1">
      <alignment horizontal="right" vertical="center"/>
    </xf>
    <xf numFmtId="181" fontId="0" fillId="4" borderId="22" xfId="3" applyNumberFormat="1" applyFont="1" applyFill="1" applyBorder="1" applyAlignment="1" applyProtection="1">
      <alignment horizontal="right" vertical="center"/>
    </xf>
    <xf numFmtId="0" fontId="0" fillId="0" borderId="26" xfId="0" applyBorder="1" applyAlignment="1" applyProtection="1">
      <alignment horizontal="center" vertical="center"/>
    </xf>
    <xf numFmtId="178" fontId="0" fillId="0" borderId="30" xfId="0" applyNumberFormat="1" applyBorder="1" applyAlignment="1" applyProtection="1">
      <alignment horizontal="right" vertical="center"/>
    </xf>
    <xf numFmtId="178" fontId="0" fillId="0" borderId="59" xfId="0" applyNumberFormat="1" applyBorder="1" applyAlignment="1" applyProtection="1">
      <alignment horizontal="right" vertical="center"/>
    </xf>
    <xf numFmtId="178" fontId="0" fillId="0" borderId="27" xfId="0" applyNumberFormat="1" applyBorder="1" applyAlignment="1" applyProtection="1">
      <alignment horizontal="right" vertical="center"/>
    </xf>
    <xf numFmtId="0" fontId="0" fillId="0" borderId="24" xfId="0" applyBorder="1" applyAlignment="1" applyProtection="1">
      <alignment horizontal="center" vertical="center"/>
    </xf>
    <xf numFmtId="0" fontId="0" fillId="0" borderId="62" xfId="0" applyBorder="1" applyAlignment="1" applyProtection="1">
      <alignment horizontal="center" vertical="center"/>
    </xf>
    <xf numFmtId="0" fontId="0" fillId="0" borderId="29" xfId="0" applyBorder="1" applyAlignment="1" applyProtection="1">
      <alignment horizontal="center" vertical="center"/>
    </xf>
    <xf numFmtId="181" fontId="0" fillId="0" borderId="24" xfId="3" applyNumberFormat="1" applyFont="1" applyFill="1" applyBorder="1" applyAlignment="1" applyProtection="1">
      <alignment horizontal="right" vertical="center"/>
    </xf>
    <xf numFmtId="181" fontId="0" fillId="0" borderId="62" xfId="3" applyNumberFormat="1" applyFont="1" applyFill="1" applyBorder="1" applyAlignment="1" applyProtection="1">
      <alignment horizontal="right" vertical="center"/>
    </xf>
    <xf numFmtId="181" fontId="0" fillId="0" borderId="29" xfId="3" applyNumberFormat="1" applyFont="1" applyFill="1" applyBorder="1" applyAlignment="1" applyProtection="1">
      <alignment horizontal="right" vertical="center"/>
    </xf>
    <xf numFmtId="0" fontId="0" fillId="0" borderId="0" xfId="0" applyFont="1" applyProtection="1">
      <alignment vertical="center"/>
    </xf>
    <xf numFmtId="0" fontId="0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Protection="1">
      <alignment vertical="center"/>
    </xf>
    <xf numFmtId="9" fontId="0" fillId="0" borderId="0" xfId="0" applyNumberFormat="1" applyFont="1" applyAlignment="1" applyProtection="1">
      <alignment horizontal="center" vertical="center"/>
    </xf>
    <xf numFmtId="40" fontId="0" fillId="0" borderId="0" xfId="3" applyNumberFormat="1" applyFont="1" applyFill="1" applyBorder="1" applyProtection="1">
      <alignment vertical="center"/>
    </xf>
    <xf numFmtId="181" fontId="0" fillId="0" borderId="0" xfId="3" applyNumberFormat="1" applyFont="1" applyFill="1" applyBorder="1" applyProtection="1">
      <alignment vertical="center"/>
    </xf>
    <xf numFmtId="178" fontId="0" fillId="0" borderId="0" xfId="0" applyNumberFormat="1" applyFont="1" applyFill="1" applyBorder="1" applyProtection="1">
      <alignment vertical="center"/>
    </xf>
    <xf numFmtId="180" fontId="0" fillId="0" borderId="0" xfId="3" applyNumberFormat="1" applyFont="1" applyFill="1" applyBorder="1" applyProtection="1">
      <alignment vertical="center"/>
    </xf>
    <xf numFmtId="179" fontId="0" fillId="0" borderId="0" xfId="3" applyNumberFormat="1" applyFont="1" applyFill="1" applyBorder="1" applyProtection="1">
      <alignment vertical="center"/>
    </xf>
    <xf numFmtId="0" fontId="13" fillId="0" borderId="0" xfId="0" applyFont="1" applyProtection="1">
      <alignment vertical="center"/>
    </xf>
    <xf numFmtId="184" fontId="13" fillId="0" borderId="0" xfId="0" applyNumberFormat="1" applyFont="1" applyFill="1" applyBorder="1" applyProtection="1">
      <alignment vertical="center"/>
    </xf>
    <xf numFmtId="0" fontId="13" fillId="0" borderId="0" xfId="0" applyFont="1" applyFill="1" applyBorder="1" applyAlignment="1" applyProtection="1">
      <alignment horizontal="center" vertical="center"/>
    </xf>
    <xf numFmtId="0" fontId="13" fillId="0" borderId="0" xfId="0" applyFont="1" applyFill="1" applyBorder="1" applyProtection="1">
      <alignment vertical="center"/>
    </xf>
    <xf numFmtId="0" fontId="13" fillId="0" borderId="0" xfId="0" applyFont="1" applyAlignment="1" applyProtection="1">
      <alignment horizontal="center" vertical="center"/>
    </xf>
    <xf numFmtId="186" fontId="13" fillId="0" borderId="0" xfId="0" quotePrefix="1" applyNumberFormat="1" applyFont="1" applyAlignment="1" applyProtection="1">
      <alignment horizontal="center" vertical="center"/>
    </xf>
    <xf numFmtId="9" fontId="13" fillId="0" borderId="0" xfId="0" applyNumberFormat="1" applyFont="1" applyAlignment="1" applyProtection="1">
      <alignment horizontal="center" vertical="center"/>
    </xf>
    <xf numFmtId="179" fontId="13" fillId="0" borderId="0" xfId="0" applyNumberFormat="1" applyFont="1" applyBorder="1" applyProtection="1">
      <alignment vertical="center"/>
    </xf>
    <xf numFmtId="40" fontId="13" fillId="0" borderId="0" xfId="3" applyNumberFormat="1" applyFont="1" applyFill="1" applyBorder="1" applyAlignment="1"/>
    <xf numFmtId="40" fontId="13" fillId="0" borderId="0" xfId="3" applyNumberFormat="1" applyFont="1" applyFill="1" applyBorder="1" applyProtection="1">
      <alignment vertical="center"/>
    </xf>
    <xf numFmtId="178" fontId="13" fillId="0" borderId="0" xfId="0" applyNumberFormat="1" applyFont="1" applyBorder="1" applyProtection="1">
      <alignment vertical="center"/>
    </xf>
    <xf numFmtId="181" fontId="13" fillId="0" borderId="0" xfId="3" applyNumberFormat="1" applyFont="1" applyFill="1" applyBorder="1" applyProtection="1">
      <alignment vertical="center"/>
    </xf>
    <xf numFmtId="182" fontId="13" fillId="0" borderId="0" xfId="0" applyNumberFormat="1" applyFont="1" applyBorder="1">
      <alignment vertical="center"/>
    </xf>
    <xf numFmtId="178" fontId="13" fillId="0" borderId="0" xfId="0" applyNumberFormat="1" applyFont="1" applyFill="1" applyBorder="1" applyProtection="1">
      <alignment vertical="center"/>
    </xf>
    <xf numFmtId="0" fontId="13" fillId="0" borderId="0" xfId="0" applyFont="1" applyBorder="1" applyProtection="1">
      <alignment vertical="center"/>
    </xf>
    <xf numFmtId="183" fontId="13" fillId="0" borderId="0" xfId="0" applyNumberFormat="1" applyFont="1" applyBorder="1">
      <alignment vertical="center"/>
    </xf>
    <xf numFmtId="179" fontId="13" fillId="0" borderId="0" xfId="3" applyNumberFormat="1" applyFont="1" applyFill="1" applyBorder="1" applyProtection="1">
      <alignment vertical="center"/>
    </xf>
    <xf numFmtId="0" fontId="0" fillId="0" borderId="36" xfId="0" applyBorder="1" applyAlignment="1">
      <alignment horizontal="justify" vertical="center" wrapText="1"/>
    </xf>
    <xf numFmtId="0" fontId="0" fillId="0" borderId="47" xfId="0" applyBorder="1" applyAlignment="1">
      <alignment horizontal="justify" vertical="center" wrapText="1"/>
    </xf>
    <xf numFmtId="0" fontId="11" fillId="0" borderId="0" xfId="0" applyFont="1" applyAlignment="1" applyProtection="1">
      <alignment horizontal="centerContinuous" vertical="center"/>
    </xf>
    <xf numFmtId="0" fontId="0" fillId="0" borderId="0" xfId="0" applyAlignment="1" applyProtection="1">
      <alignment horizontal="centerContinuous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FFFF99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3569229138712"/>
          <c:y val="6.8601671495804512E-2"/>
          <c:w val="0.76550532473603428"/>
          <c:h val="0.75989543810737303"/>
        </c:manualLayout>
      </c:layout>
      <c:scatterChart>
        <c:scatterStyle val="smoothMarker"/>
        <c:varyColors val="0"/>
        <c:ser>
          <c:idx val="3"/>
          <c:order val="0"/>
          <c:tx>
            <c:v>DICOM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コントラスト応答!$Y$5:$Y$21</c:f>
              <c:numCache>
                <c:formatCode>0.0_);[Red]\(0.0\)</c:formatCode>
                <c:ptCount val="17"/>
                <c:pt idx="0">
                  <c:v>64.402312471006212</c:v>
                </c:pt>
                <c:pt idx="1">
                  <c:v>100.97145659999569</c:v>
                </c:pt>
                <c:pt idx="2">
                  <c:v>137.54060072898517</c:v>
                </c:pt>
                <c:pt idx="3">
                  <c:v>174.10974485797465</c:v>
                </c:pt>
                <c:pt idx="4">
                  <c:v>210.67888898696413</c:v>
                </c:pt>
                <c:pt idx="5">
                  <c:v>247.2480331159536</c:v>
                </c:pt>
                <c:pt idx="6">
                  <c:v>283.81717724494308</c:v>
                </c:pt>
                <c:pt idx="7">
                  <c:v>320.38632137393256</c:v>
                </c:pt>
                <c:pt idx="8">
                  <c:v>356.95546550292204</c:v>
                </c:pt>
                <c:pt idx="9">
                  <c:v>393.52460963191152</c:v>
                </c:pt>
                <c:pt idx="10">
                  <c:v>430.093753760901</c:v>
                </c:pt>
                <c:pt idx="11">
                  <c:v>466.66289788989047</c:v>
                </c:pt>
                <c:pt idx="12">
                  <c:v>503.23204201887995</c:v>
                </c:pt>
                <c:pt idx="13">
                  <c:v>539.80118614786943</c:v>
                </c:pt>
                <c:pt idx="14">
                  <c:v>576.37033027685902</c:v>
                </c:pt>
                <c:pt idx="15">
                  <c:v>612.93947440584839</c:v>
                </c:pt>
                <c:pt idx="16">
                  <c:v>649.50861853483798</c:v>
                </c:pt>
              </c:numCache>
            </c:numRef>
          </c:xVal>
          <c:yVal>
            <c:numRef>
              <c:f>コントラスト応答!$AA$5:$AA$22</c:f>
              <c:numCache>
                <c:formatCode>0.0000_ </c:formatCode>
                <c:ptCount val="18"/>
                <c:pt idx="0">
                  <c:v>2.4538601456320672E-2</c:v>
                </c:pt>
                <c:pt idx="1">
                  <c:v>1.8549724944271553E-2</c:v>
                </c:pt>
                <c:pt idx="2">
                  <c:v>1.5114275477953827E-2</c:v>
                </c:pt>
                <c:pt idx="3">
                  <c:v>1.2918346852299679E-2</c:v>
                </c:pt>
                <c:pt idx="4">
                  <c:v>1.1414399487715061E-2</c:v>
                </c:pt>
                <c:pt idx="5">
                  <c:v>1.0333218961048034E-2</c:v>
                </c:pt>
                <c:pt idx="6">
                  <c:v>9.5278471221323605E-3</c:v>
                </c:pt>
                <c:pt idx="7">
                  <c:v>8.9116187049185416E-3</c:v>
                </c:pt>
                <c:pt idx="8">
                  <c:v>8.4302937775278183E-3</c:v>
                </c:pt>
                <c:pt idx="9">
                  <c:v>8.0482847379527624E-3</c:v>
                </c:pt>
                <c:pt idx="10">
                  <c:v>7.7413270234097508E-3</c:v>
                </c:pt>
                <c:pt idx="11">
                  <c:v>7.4923395408563612E-3</c:v>
                </c:pt>
                <c:pt idx="12">
                  <c:v>7.2889691523703526E-3</c:v>
                </c:pt>
                <c:pt idx="13">
                  <c:v>7.1220729902596782E-3</c:v>
                </c:pt>
                <c:pt idx="14">
                  <c:v>6.9847470281088697E-3</c:v>
                </c:pt>
                <c:pt idx="15">
                  <c:v>6.87168527056118E-3</c:v>
                </c:pt>
                <c:pt idx="16">
                  <c:v>6.7750378803306411E-3</c:v>
                </c:pt>
              </c:numCache>
            </c:numRef>
          </c:yVal>
          <c:smooth val="1"/>
        </c:ser>
        <c:ser>
          <c:idx val="4"/>
          <c:order val="1"/>
          <c:tx>
            <c:strRef>
              <c:f>コントラスト応答!$AB$4</c:f>
              <c:strCache>
                <c:ptCount val="1"/>
                <c:pt idx="0">
                  <c:v>+10%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コントラスト応答!$Y$5:$Y$21</c:f>
              <c:numCache>
                <c:formatCode>0.0_);[Red]\(0.0\)</c:formatCode>
                <c:ptCount val="17"/>
                <c:pt idx="0">
                  <c:v>64.402312471006212</c:v>
                </c:pt>
                <c:pt idx="1">
                  <c:v>100.97145659999569</c:v>
                </c:pt>
                <c:pt idx="2">
                  <c:v>137.54060072898517</c:v>
                </c:pt>
                <c:pt idx="3">
                  <c:v>174.10974485797465</c:v>
                </c:pt>
                <c:pt idx="4">
                  <c:v>210.67888898696413</c:v>
                </c:pt>
                <c:pt idx="5">
                  <c:v>247.2480331159536</c:v>
                </c:pt>
                <c:pt idx="6">
                  <c:v>283.81717724494308</c:v>
                </c:pt>
                <c:pt idx="7">
                  <c:v>320.38632137393256</c:v>
                </c:pt>
                <c:pt idx="8">
                  <c:v>356.95546550292204</c:v>
                </c:pt>
                <c:pt idx="9">
                  <c:v>393.52460963191152</c:v>
                </c:pt>
                <c:pt idx="10">
                  <c:v>430.093753760901</c:v>
                </c:pt>
                <c:pt idx="11">
                  <c:v>466.66289788989047</c:v>
                </c:pt>
                <c:pt idx="12">
                  <c:v>503.23204201887995</c:v>
                </c:pt>
                <c:pt idx="13">
                  <c:v>539.80118614786943</c:v>
                </c:pt>
                <c:pt idx="14">
                  <c:v>576.37033027685902</c:v>
                </c:pt>
                <c:pt idx="15">
                  <c:v>612.93947440584839</c:v>
                </c:pt>
                <c:pt idx="16">
                  <c:v>649.50861853483798</c:v>
                </c:pt>
              </c:numCache>
            </c:numRef>
          </c:xVal>
          <c:yVal>
            <c:numRef>
              <c:f>コントラスト応答!$AB$5:$AB$22</c:f>
              <c:numCache>
                <c:formatCode>0.0000_ </c:formatCode>
                <c:ptCount val="18"/>
                <c:pt idx="0">
                  <c:v>2.6992461601952743E-2</c:v>
                </c:pt>
                <c:pt idx="1">
                  <c:v>2.0404697438698709E-2</c:v>
                </c:pt>
                <c:pt idx="2">
                  <c:v>1.662570302574921E-2</c:v>
                </c:pt>
                <c:pt idx="3">
                  <c:v>1.4210181537529648E-2</c:v>
                </c:pt>
                <c:pt idx="4">
                  <c:v>1.2555839436486568E-2</c:v>
                </c:pt>
                <c:pt idx="5">
                  <c:v>1.136654085715284E-2</c:v>
                </c:pt>
                <c:pt idx="6">
                  <c:v>1.0480631834345597E-2</c:v>
                </c:pt>
                <c:pt idx="7">
                  <c:v>9.8027805754103969E-3</c:v>
                </c:pt>
                <c:pt idx="8">
                  <c:v>9.2733231552806009E-3</c:v>
                </c:pt>
                <c:pt idx="9">
                  <c:v>8.8531132117480402E-3</c:v>
                </c:pt>
                <c:pt idx="10">
                  <c:v>8.5154597257507264E-3</c:v>
                </c:pt>
                <c:pt idx="11">
                  <c:v>8.2415734949419974E-3</c:v>
                </c:pt>
                <c:pt idx="12">
                  <c:v>8.0178660676073887E-3</c:v>
                </c:pt>
                <c:pt idx="13">
                  <c:v>7.8342802892856465E-3</c:v>
                </c:pt>
                <c:pt idx="14">
                  <c:v>7.6832217309197575E-3</c:v>
                </c:pt>
                <c:pt idx="15">
                  <c:v>7.5588537976172985E-3</c:v>
                </c:pt>
                <c:pt idx="16">
                  <c:v>7.4525416683637056E-3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コントラスト応答!$AC$4</c:f>
              <c:strCache>
                <c:ptCount val="1"/>
                <c:pt idx="0">
                  <c:v>-10%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コントラスト応答!$Y$5:$Y$21</c:f>
              <c:numCache>
                <c:formatCode>0.0_);[Red]\(0.0\)</c:formatCode>
                <c:ptCount val="17"/>
                <c:pt idx="0">
                  <c:v>64.402312471006212</c:v>
                </c:pt>
                <c:pt idx="1">
                  <c:v>100.97145659999569</c:v>
                </c:pt>
                <c:pt idx="2">
                  <c:v>137.54060072898517</c:v>
                </c:pt>
                <c:pt idx="3">
                  <c:v>174.10974485797465</c:v>
                </c:pt>
                <c:pt idx="4">
                  <c:v>210.67888898696413</c:v>
                </c:pt>
                <c:pt idx="5">
                  <c:v>247.2480331159536</c:v>
                </c:pt>
                <c:pt idx="6">
                  <c:v>283.81717724494308</c:v>
                </c:pt>
                <c:pt idx="7">
                  <c:v>320.38632137393256</c:v>
                </c:pt>
                <c:pt idx="8">
                  <c:v>356.95546550292204</c:v>
                </c:pt>
                <c:pt idx="9">
                  <c:v>393.52460963191152</c:v>
                </c:pt>
                <c:pt idx="10">
                  <c:v>430.093753760901</c:v>
                </c:pt>
                <c:pt idx="11">
                  <c:v>466.66289788989047</c:v>
                </c:pt>
                <c:pt idx="12">
                  <c:v>503.23204201887995</c:v>
                </c:pt>
                <c:pt idx="13">
                  <c:v>539.80118614786943</c:v>
                </c:pt>
                <c:pt idx="14">
                  <c:v>576.37033027685902</c:v>
                </c:pt>
                <c:pt idx="15">
                  <c:v>612.93947440584839</c:v>
                </c:pt>
                <c:pt idx="16">
                  <c:v>649.50861853483798</c:v>
                </c:pt>
              </c:numCache>
            </c:numRef>
          </c:xVal>
          <c:yVal>
            <c:numRef>
              <c:f>コントラスト応答!$AC$5:$AC$22</c:f>
              <c:numCache>
                <c:formatCode>0.0000_ </c:formatCode>
                <c:ptCount val="18"/>
                <c:pt idx="0">
                  <c:v>2.2084741310688605E-2</c:v>
                </c:pt>
                <c:pt idx="1">
                  <c:v>1.6694752449844398E-2</c:v>
                </c:pt>
                <c:pt idx="2">
                  <c:v>1.3602847930158445E-2</c:v>
                </c:pt>
                <c:pt idx="3">
                  <c:v>1.1626512167069713E-2</c:v>
                </c:pt>
                <c:pt idx="4">
                  <c:v>1.0272959538943556E-2</c:v>
                </c:pt>
                <c:pt idx="5">
                  <c:v>9.299897064943231E-3</c:v>
                </c:pt>
                <c:pt idx="6">
                  <c:v>8.5750624099191243E-3</c:v>
                </c:pt>
                <c:pt idx="7">
                  <c:v>8.0204568344266879E-3</c:v>
                </c:pt>
                <c:pt idx="8">
                  <c:v>7.5872643997750367E-3</c:v>
                </c:pt>
                <c:pt idx="9">
                  <c:v>7.2434562641574864E-3</c:v>
                </c:pt>
                <c:pt idx="10">
                  <c:v>6.9671943210687761E-3</c:v>
                </c:pt>
                <c:pt idx="11">
                  <c:v>6.743105586770725E-3</c:v>
                </c:pt>
                <c:pt idx="12">
                  <c:v>6.5600722371333174E-3</c:v>
                </c:pt>
                <c:pt idx="13">
                  <c:v>6.4098656912337107E-3</c:v>
                </c:pt>
                <c:pt idx="14">
                  <c:v>6.2862723252979829E-3</c:v>
                </c:pt>
                <c:pt idx="15">
                  <c:v>6.1845167435050624E-3</c:v>
                </c:pt>
                <c:pt idx="16">
                  <c:v>6.0975340922975775E-3</c:v>
                </c:pt>
              </c:numCache>
            </c:numRef>
          </c:yVal>
          <c:smooth val="1"/>
        </c:ser>
        <c:ser>
          <c:idx val="0"/>
          <c:order val="3"/>
          <c:tx>
            <c:v>Measured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コントラスト応答!$Y$5:$Y$21</c:f>
              <c:numCache>
                <c:formatCode>0.0_);[Red]\(0.0\)</c:formatCode>
                <c:ptCount val="17"/>
                <c:pt idx="0">
                  <c:v>64.402312471006212</c:v>
                </c:pt>
                <c:pt idx="1">
                  <c:v>100.97145659999569</c:v>
                </c:pt>
                <c:pt idx="2">
                  <c:v>137.54060072898517</c:v>
                </c:pt>
                <c:pt idx="3">
                  <c:v>174.10974485797465</c:v>
                </c:pt>
                <c:pt idx="4">
                  <c:v>210.67888898696413</c:v>
                </c:pt>
                <c:pt idx="5">
                  <c:v>247.2480331159536</c:v>
                </c:pt>
                <c:pt idx="6">
                  <c:v>283.81717724494308</c:v>
                </c:pt>
                <c:pt idx="7">
                  <c:v>320.38632137393256</c:v>
                </c:pt>
                <c:pt idx="8">
                  <c:v>356.95546550292204</c:v>
                </c:pt>
                <c:pt idx="9">
                  <c:v>393.52460963191152</c:v>
                </c:pt>
                <c:pt idx="10">
                  <c:v>430.093753760901</c:v>
                </c:pt>
                <c:pt idx="11">
                  <c:v>466.66289788989047</c:v>
                </c:pt>
                <c:pt idx="12">
                  <c:v>503.23204201887995</c:v>
                </c:pt>
                <c:pt idx="13">
                  <c:v>539.80118614786943</c:v>
                </c:pt>
                <c:pt idx="14">
                  <c:v>576.37033027685902</c:v>
                </c:pt>
                <c:pt idx="15">
                  <c:v>612.93947440584839</c:v>
                </c:pt>
                <c:pt idx="16">
                  <c:v>649.50861853483798</c:v>
                </c:pt>
              </c:numCache>
            </c:numRef>
          </c:xVal>
          <c:yVal>
            <c:numRef>
              <c:f>コントラスト応答!$H$5:$H$21</c:f>
              <c:numCache>
                <c:formatCode>#,##0.0000;[Red]\-#,##0.0000</c:formatCode>
                <c:ptCount val="17"/>
                <c:pt idx="0">
                  <c:v>2.4338340484375734E-2</c:v>
                </c:pt>
                <c:pt idx="1">
                  <c:v>1.8523734772745371E-2</c:v>
                </c:pt>
                <c:pt idx="2">
                  <c:v>1.5000060781207076E-2</c:v>
                </c:pt>
                <c:pt idx="3">
                  <c:v>1.3291877558741292E-2</c:v>
                </c:pt>
                <c:pt idx="4">
                  <c:v>1.1350398935633034E-2</c:v>
                </c:pt>
                <c:pt idx="5">
                  <c:v>1.0115885798813434E-2</c:v>
                </c:pt>
                <c:pt idx="6">
                  <c:v>9.6287297060214418E-3</c:v>
                </c:pt>
                <c:pt idx="7">
                  <c:v>8.6268969301961079E-3</c:v>
                </c:pt>
                <c:pt idx="8">
                  <c:v>8.3594679901224968E-3</c:v>
                </c:pt>
                <c:pt idx="9">
                  <c:v>8.0225666353854527E-3</c:v>
                </c:pt>
                <c:pt idx="10">
                  <c:v>7.8038819337278515E-3</c:v>
                </c:pt>
                <c:pt idx="11">
                  <c:v>7.5327370806372194E-3</c:v>
                </c:pt>
                <c:pt idx="12">
                  <c:v>7.4470517590738694E-3</c:v>
                </c:pt>
                <c:pt idx="13">
                  <c:v>7.2458868098522131E-3</c:v>
                </c:pt>
                <c:pt idx="14">
                  <c:v>7.0816091276428598E-3</c:v>
                </c:pt>
                <c:pt idx="15">
                  <c:v>6.8899127396365957E-3</c:v>
                </c:pt>
                <c:pt idx="16">
                  <c:v>6.8507878745895697E-3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346752"/>
        <c:axId val="103190528"/>
      </c:scatterChart>
      <c:valAx>
        <c:axId val="10234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en-US"/>
                  <a:t>JND Index</a:t>
                </a:r>
              </a:p>
            </c:rich>
          </c:tx>
          <c:layout>
            <c:manualLayout>
              <c:xMode val="edge"/>
              <c:yMode val="edge"/>
              <c:x val="0.488373110337952"/>
              <c:y val="0.9155683903628141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3190528"/>
        <c:crosses val="autoZero"/>
        <c:crossBetween val="midCat"/>
      </c:valAx>
      <c:valAx>
        <c:axId val="1031905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80808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en-US"/>
                  <a:t>⊿L/L for a JND</a:t>
                </a:r>
              </a:p>
            </c:rich>
          </c:tx>
          <c:layout>
            <c:manualLayout>
              <c:xMode val="edge"/>
              <c:yMode val="edge"/>
              <c:x val="1.8555485024063244E-2"/>
              <c:y val="0.295514898872935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0_ ;[Red]\-#,##0.000\ 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234675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255956377545828"/>
          <c:y val="8.9709762532981532E-2"/>
          <c:w val="0.18604691855378541"/>
          <c:h val="0.255936952471970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60" verticalDpi="36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</xdr:row>
      <xdr:rowOff>0</xdr:rowOff>
    </xdr:from>
    <xdr:to>
      <xdr:col>16</xdr:col>
      <xdr:colOff>464820</xdr:colOff>
      <xdr:row>23</xdr:row>
      <xdr:rowOff>0</xdr:rowOff>
    </xdr:to>
    <xdr:graphicFrame macro="">
      <xdr:nvGraphicFramePr>
        <xdr:cNvPr id="2114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H39"/>
  <sheetViews>
    <sheetView tabSelected="1" zoomScaleNormal="100" workbookViewId="0">
      <selection activeCell="C32" sqref="C32"/>
    </sheetView>
  </sheetViews>
  <sheetFormatPr defaultColWidth="9" defaultRowHeight="13.2"/>
  <cols>
    <col min="1" max="1" width="2.33203125" style="3" customWidth="1"/>
    <col min="2" max="2" width="9.44140625" style="3" bestFit="1" customWidth="1"/>
    <col min="3" max="3" width="15.77734375" style="3" customWidth="1"/>
    <col min="4" max="4" width="11" style="3" bestFit="1" customWidth="1"/>
    <col min="5" max="5" width="37.5546875" style="3" customWidth="1"/>
    <col min="6" max="6" width="21.21875" style="3" customWidth="1"/>
    <col min="7" max="7" width="8.44140625" style="3" customWidth="1"/>
    <col min="8" max="8" width="8.44140625" style="105" customWidth="1"/>
    <col min="9" max="9" width="2.33203125" style="3" customWidth="1"/>
    <col min="10" max="16384" width="9" style="3"/>
  </cols>
  <sheetData>
    <row r="1" spans="2:8" ht="15" customHeight="1"/>
    <row r="2" spans="2:8" ht="15" customHeight="1"/>
    <row r="3" spans="2:8" ht="15" customHeight="1">
      <c r="B3" s="106" t="s">
        <v>177</v>
      </c>
      <c r="G3" s="146" t="s">
        <v>83</v>
      </c>
      <c r="H3" s="146"/>
    </row>
    <row r="4" spans="2:8" ht="42.6" customHeight="1" thickBot="1">
      <c r="B4" s="311" t="s">
        <v>148</v>
      </c>
      <c r="C4" s="312"/>
      <c r="D4" s="312"/>
      <c r="E4" s="312"/>
      <c r="F4" s="312"/>
      <c r="G4" s="312"/>
      <c r="H4" s="312"/>
    </row>
    <row r="5" spans="2:8" ht="15" customHeight="1">
      <c r="B5" s="107" t="s">
        <v>101</v>
      </c>
      <c r="C5" s="144"/>
      <c r="D5" s="108" t="s">
        <v>99</v>
      </c>
      <c r="E5" s="102"/>
      <c r="F5" s="109" t="s">
        <v>2</v>
      </c>
      <c r="G5" s="149" t="s">
        <v>3</v>
      </c>
      <c r="H5" s="150"/>
    </row>
    <row r="6" spans="2:8" ht="15" customHeight="1">
      <c r="B6" s="110" t="s">
        <v>4</v>
      </c>
      <c r="C6" s="145"/>
      <c r="D6" s="111" t="s">
        <v>33</v>
      </c>
      <c r="E6" s="103"/>
      <c r="F6" s="147"/>
      <c r="G6" s="151"/>
      <c r="H6" s="152"/>
    </row>
    <row r="7" spans="2:8" ht="15" customHeight="1">
      <c r="B7" s="110" t="s">
        <v>5</v>
      </c>
      <c r="C7" s="145"/>
      <c r="D7" s="111" t="s">
        <v>90</v>
      </c>
      <c r="E7" s="103"/>
      <c r="F7" s="148"/>
      <c r="G7" s="153"/>
      <c r="H7" s="154"/>
    </row>
    <row r="8" spans="2:8" ht="15" customHeight="1">
      <c r="B8" s="110" t="s">
        <v>33</v>
      </c>
      <c r="C8" s="145"/>
      <c r="D8" s="112" t="s">
        <v>33</v>
      </c>
      <c r="E8" s="104"/>
      <c r="F8" s="148"/>
      <c r="G8" s="153"/>
      <c r="H8" s="154"/>
    </row>
    <row r="9" spans="2:8" ht="15" customHeight="1">
      <c r="B9" s="110" t="s">
        <v>7</v>
      </c>
      <c r="C9" s="145"/>
      <c r="D9" s="111" t="s">
        <v>100</v>
      </c>
      <c r="E9" s="103"/>
      <c r="F9" s="148"/>
      <c r="G9" s="153"/>
      <c r="H9" s="154"/>
    </row>
    <row r="10" spans="2:8" ht="15" customHeight="1">
      <c r="B10" s="110"/>
      <c r="C10" s="145"/>
      <c r="D10" s="111" t="s">
        <v>6</v>
      </c>
      <c r="E10" s="103"/>
      <c r="F10" s="148"/>
      <c r="G10" s="155"/>
      <c r="H10" s="156"/>
    </row>
    <row r="11" spans="2:8" ht="15" customHeight="1">
      <c r="B11" s="186" t="s">
        <v>8</v>
      </c>
      <c r="C11" s="187" t="s">
        <v>9</v>
      </c>
      <c r="D11" s="188" t="s">
        <v>147</v>
      </c>
      <c r="E11" s="189"/>
      <c r="F11" s="113" t="s">
        <v>10</v>
      </c>
      <c r="G11" s="190" t="s">
        <v>117</v>
      </c>
      <c r="H11" s="192" t="s">
        <v>11</v>
      </c>
    </row>
    <row r="12" spans="2:8" ht="15" customHeight="1">
      <c r="B12" s="186"/>
      <c r="C12" s="187"/>
      <c r="D12" s="193" t="s">
        <v>153</v>
      </c>
      <c r="E12" s="194"/>
      <c r="F12" s="114" t="s">
        <v>151</v>
      </c>
      <c r="G12" s="191"/>
      <c r="H12" s="192"/>
    </row>
    <row r="13" spans="2:8" ht="15" customHeight="1">
      <c r="B13" s="115" t="s">
        <v>12</v>
      </c>
      <c r="C13" s="116" t="s">
        <v>12</v>
      </c>
      <c r="D13" s="157" t="s">
        <v>150</v>
      </c>
      <c r="E13" s="158"/>
      <c r="F13" s="117" t="s">
        <v>119</v>
      </c>
      <c r="G13" s="118" t="s">
        <v>118</v>
      </c>
      <c r="H13" s="95" t="s">
        <v>155</v>
      </c>
    </row>
    <row r="14" spans="2:8" ht="15" customHeight="1">
      <c r="B14" s="159" t="s">
        <v>13</v>
      </c>
      <c r="C14" s="158" t="s">
        <v>14</v>
      </c>
      <c r="D14" s="162" t="s">
        <v>27</v>
      </c>
      <c r="E14" s="162"/>
      <c r="F14" s="158"/>
      <c r="G14" s="177"/>
      <c r="H14" s="99" t="s">
        <v>155</v>
      </c>
    </row>
    <row r="15" spans="2:8" ht="15" customHeight="1">
      <c r="B15" s="160"/>
      <c r="C15" s="158"/>
      <c r="D15" s="172" t="s">
        <v>28</v>
      </c>
      <c r="E15" s="172"/>
      <c r="F15" s="158"/>
      <c r="G15" s="178"/>
      <c r="H15" s="101" t="s">
        <v>155</v>
      </c>
    </row>
    <row r="16" spans="2:8" ht="15" customHeight="1">
      <c r="B16" s="160"/>
      <c r="C16" s="158"/>
      <c r="D16" s="163" t="s">
        <v>15</v>
      </c>
      <c r="E16" s="163"/>
      <c r="F16" s="158"/>
      <c r="G16" s="179"/>
      <c r="H16" s="100" t="s">
        <v>155</v>
      </c>
    </row>
    <row r="17" spans="2:8" ht="15" customHeight="1">
      <c r="B17" s="160"/>
      <c r="C17" s="116" t="s">
        <v>16</v>
      </c>
      <c r="D17" s="164" t="s">
        <v>26</v>
      </c>
      <c r="E17" s="165"/>
      <c r="F17" s="116"/>
      <c r="G17" s="119"/>
      <c r="H17" s="95" t="s">
        <v>154</v>
      </c>
    </row>
    <row r="18" spans="2:8" ht="15" customHeight="1">
      <c r="B18" s="160"/>
      <c r="C18" s="162" t="s">
        <v>17</v>
      </c>
      <c r="D18" s="166" t="s">
        <v>103</v>
      </c>
      <c r="E18" s="167"/>
      <c r="F18" s="120" t="s">
        <v>18</v>
      </c>
      <c r="G18" s="121"/>
      <c r="H18" s="99" t="s">
        <v>156</v>
      </c>
    </row>
    <row r="19" spans="2:8" ht="15" customHeight="1">
      <c r="B19" s="160"/>
      <c r="C19" s="309"/>
      <c r="D19" s="168"/>
      <c r="E19" s="169"/>
      <c r="F19" s="122" t="s">
        <v>161</v>
      </c>
      <c r="G19" s="123"/>
      <c r="H19" s="101" t="s">
        <v>154</v>
      </c>
    </row>
    <row r="20" spans="2:8" ht="15" customHeight="1">
      <c r="B20" s="161"/>
      <c r="C20" s="310"/>
      <c r="D20" s="170"/>
      <c r="E20" s="171"/>
      <c r="F20" s="124" t="s">
        <v>19</v>
      </c>
      <c r="G20" s="123"/>
      <c r="H20" s="100" t="s">
        <v>156</v>
      </c>
    </row>
    <row r="21" spans="2:8" ht="39" customHeight="1">
      <c r="B21" s="159" t="s">
        <v>20</v>
      </c>
      <c r="C21" s="116" t="s">
        <v>21</v>
      </c>
      <c r="D21" s="157" t="s">
        <v>116</v>
      </c>
      <c r="E21" s="158"/>
      <c r="F21" s="117" t="s">
        <v>163</v>
      </c>
      <c r="G21" s="118" t="s">
        <v>122</v>
      </c>
      <c r="H21" s="125">
        <f>IF(NOT(ISBLANK(D1212)),IF(輝度均一性!R25&lt;=30,輝度均一性!R25,"NG"),IF(輝度均一性!R25&lt;=30,輝度均一性!R25,"NG"))</f>
        <v>10.533886945434343</v>
      </c>
    </row>
    <row r="22" spans="2:8" ht="15" customHeight="1">
      <c r="B22" s="160"/>
      <c r="C22" s="116" t="s">
        <v>22</v>
      </c>
      <c r="D22" s="158" t="str">
        <f>VLOOKUP($D$12,グレードパラメータ!$A$2:$F$4,2)</f>
        <v>≦±10</v>
      </c>
      <c r="E22" s="158"/>
      <c r="F22" s="117" t="s">
        <v>123</v>
      </c>
      <c r="G22" s="118" t="s">
        <v>122</v>
      </c>
      <c r="H22" s="126">
        <f>IF(NOT(ISBLANK($D$12)),IF(ABS(コントラスト応答!I23)&gt;VLOOKUP($D$12,グレードパラメータ!$A$2:$G$4,7),"NG",コントラスト応答!I23))</f>
        <v>-3.194950144863006</v>
      </c>
    </row>
    <row r="23" spans="2:8" ht="15" customHeight="1">
      <c r="B23" s="160"/>
      <c r="C23" s="163" t="s">
        <v>23</v>
      </c>
      <c r="D23" s="183" t="str">
        <f>VLOOKUP($D$12,グレードパラメータ!$A$2:$F$4,3)</f>
        <v>≧350</v>
      </c>
      <c r="E23" s="183"/>
      <c r="F23" s="127" t="s">
        <v>158</v>
      </c>
      <c r="G23" s="127" t="s">
        <v>159</v>
      </c>
      <c r="H23" s="128">
        <f>IF(NOT(ISBLANK($D$12)),IF(ABS(最大輝度!C5)&lt;VLOOKUP($D$12,グレードパラメータ!$A$2:$H$4,8),"NG",最大輝度!C5))</f>
        <v>386.68</v>
      </c>
    </row>
    <row r="24" spans="2:8" ht="39" customHeight="1">
      <c r="B24" s="160"/>
      <c r="C24" s="158"/>
      <c r="D24" s="184" t="s">
        <v>120</v>
      </c>
      <c r="E24" s="185"/>
      <c r="F24" s="129" t="s">
        <v>182</v>
      </c>
      <c r="G24" s="130" t="s">
        <v>122</v>
      </c>
      <c r="H24" s="131">
        <f>IF(NOT(ISBLANK(D12)),IF(最大輝度!C6&lt;=10,最大輝度!C6,"NG"),IF(最大輝度!C6&lt;=10,最大輝度!C6,"NG"))</f>
        <v>6.0308265232233351</v>
      </c>
    </row>
    <row r="25" spans="2:8" ht="15" customHeight="1">
      <c r="B25" s="160"/>
      <c r="C25" s="116" t="s">
        <v>24</v>
      </c>
      <c r="D25" s="158" t="str">
        <f>VLOOKUP($D$12,グレードパラメータ!$A$2:$F$4,4)</f>
        <v>≧250</v>
      </c>
      <c r="E25" s="158"/>
      <c r="F25" s="117" t="s">
        <v>157</v>
      </c>
      <c r="G25" s="119"/>
      <c r="H25" s="125">
        <f>IF(NOT(ISBLANK($D$12)),IF(ABS(最大輝度!C9)&lt;VLOOKUP($D$12,グレードパラメータ!$A$2:$I$4,9),"NG",最大輝度!C9))</f>
        <v>784.3598627147112</v>
      </c>
    </row>
    <row r="26" spans="2:8" ht="39" customHeight="1">
      <c r="B26" s="160"/>
      <c r="C26" s="174" t="s">
        <v>25</v>
      </c>
      <c r="D26" s="162" t="str">
        <f>VLOOKUP($D$12,グレードパラメータ!$A$2:$F$4,5)</f>
        <v>画面内≦0.01</v>
      </c>
      <c r="E26" s="162"/>
      <c r="F26" s="132" t="s">
        <v>124</v>
      </c>
      <c r="G26" s="133"/>
      <c r="H26" s="134">
        <f>IF(NOT(ISBLANK($D$12)),IF($D$26="-","-",IF(色度!$AD$36&lt;=0.01,色度!$AD$36,"NG")))</f>
        <v>1.452237552552496E-3</v>
      </c>
    </row>
    <row r="27" spans="2:8" ht="39" customHeight="1" thickBot="1">
      <c r="B27" s="173"/>
      <c r="C27" s="175"/>
      <c r="D27" s="176" t="str">
        <f>VLOOKUP($D$12,グレードパラメータ!$A$2:$F$4,6)</f>
        <v>マルチ医用モニタ間≦0.01</v>
      </c>
      <c r="E27" s="176"/>
      <c r="F27" s="135" t="s">
        <v>160</v>
      </c>
      <c r="G27" s="136"/>
      <c r="H27" s="137">
        <f>IF(NOT(ISBLANK($D$12)),IF($D$26="-","-",IF(色度!$AV$32&lt;=0.01,色度!$AV$32,"NG")))</f>
        <v>5.4635469759619134E-3</v>
      </c>
    </row>
    <row r="28" spans="2:8" ht="15" customHeight="1" thickBot="1">
      <c r="B28" s="138" t="s">
        <v>88</v>
      </c>
      <c r="C28" s="180" t="s">
        <v>89</v>
      </c>
      <c r="D28" s="181"/>
      <c r="E28" s="181"/>
      <c r="F28" s="182"/>
      <c r="G28" s="139"/>
      <c r="H28" s="140" t="str">
        <f>IF(COUNTBLANK(H13:H27),"",IF(COUNTIF(H13:H27,"NG"),"NG","OK"))</f>
        <v>OK</v>
      </c>
    </row>
    <row r="29" spans="2:8">
      <c r="D29" s="141"/>
      <c r="E29" s="141"/>
    </row>
    <row r="30" spans="2:8">
      <c r="B30" s="1"/>
      <c r="D30" s="141"/>
      <c r="E30" s="141"/>
    </row>
    <row r="31" spans="2:8">
      <c r="D31" s="141"/>
      <c r="E31" s="141"/>
    </row>
    <row r="32" spans="2:8">
      <c r="D32" s="141"/>
      <c r="E32" s="141"/>
      <c r="G32" s="142"/>
    </row>
    <row r="33" spans="4:8">
      <c r="D33" s="141"/>
      <c r="E33" s="141"/>
      <c r="G33" s="142"/>
    </row>
    <row r="34" spans="4:8">
      <c r="D34" s="141"/>
      <c r="E34" s="141"/>
      <c r="H34" s="3"/>
    </row>
    <row r="35" spans="4:8">
      <c r="D35" s="141"/>
      <c r="E35" s="141"/>
      <c r="H35" s="3"/>
    </row>
    <row r="36" spans="4:8">
      <c r="D36" s="141"/>
      <c r="E36" s="141"/>
      <c r="H36" s="3"/>
    </row>
    <row r="37" spans="4:8">
      <c r="D37" s="141"/>
      <c r="E37" s="141"/>
      <c r="H37" s="3"/>
    </row>
    <row r="38" spans="4:8">
      <c r="D38" s="141"/>
      <c r="E38" s="143"/>
      <c r="H38" s="3"/>
    </row>
    <row r="39" spans="4:8">
      <c r="D39" s="141"/>
      <c r="E39" s="143"/>
      <c r="H39" s="3"/>
    </row>
  </sheetData>
  <sheetProtection password="C97F" sheet="1" objects="1" scenarios="1"/>
  <mergeCells count="32">
    <mergeCell ref="B11:B12"/>
    <mergeCell ref="C11:C12"/>
    <mergeCell ref="D11:E11"/>
    <mergeCell ref="G11:G12"/>
    <mergeCell ref="H11:H12"/>
    <mergeCell ref="D12:E12"/>
    <mergeCell ref="G14:G16"/>
    <mergeCell ref="C28:F28"/>
    <mergeCell ref="C23:C24"/>
    <mergeCell ref="D23:E23"/>
    <mergeCell ref="D24:E24"/>
    <mergeCell ref="D25:E25"/>
    <mergeCell ref="C18:C20"/>
    <mergeCell ref="B21:B27"/>
    <mergeCell ref="D21:E21"/>
    <mergeCell ref="D22:E22"/>
    <mergeCell ref="C26:C27"/>
    <mergeCell ref="D26:E26"/>
    <mergeCell ref="D27:E27"/>
    <mergeCell ref="B14:B20"/>
    <mergeCell ref="C14:C16"/>
    <mergeCell ref="D14:E14"/>
    <mergeCell ref="F14:F16"/>
    <mergeCell ref="D16:E16"/>
    <mergeCell ref="D17:E17"/>
    <mergeCell ref="D18:E20"/>
    <mergeCell ref="D15:E15"/>
    <mergeCell ref="G3:H3"/>
    <mergeCell ref="F6:F10"/>
    <mergeCell ref="G5:H5"/>
    <mergeCell ref="G6:H10"/>
    <mergeCell ref="D13:E13"/>
  </mergeCells>
  <phoneticPr fontId="2"/>
  <dataValidations count="1">
    <dataValidation type="list" allowBlank="1" showInputMessage="1" showErrorMessage="1" sqref="H13:H20">
      <formula1>"OK,NG"</formula1>
    </dataValidation>
  </dataValidations>
  <printOptions horizontalCentered="1"/>
  <pageMargins left="0.59055118110236227" right="0.59055118110236227" top="1.17" bottom="0.78740157480314965" header="0.74" footer="0.51181102362204722"/>
  <pageSetup paperSize="9" scale="81" orientation="portrait" r:id="rId1"/>
  <headerFooter alignWithMargins="0">
    <oddHeader>&amp;C受入試験結果報告書</oddHead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グレードパラメータ!$A$2:$A$4</xm:f>
          </x14:formula1>
          <xm:sqref>F18 D12:E12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27"/>
  <sheetViews>
    <sheetView workbookViewId="0">
      <selection activeCell="AD17" sqref="AD17"/>
    </sheetView>
  </sheetViews>
  <sheetFormatPr defaultColWidth="9" defaultRowHeight="13.2"/>
  <cols>
    <col min="1" max="25" width="2.33203125" style="3" customWidth="1"/>
    <col min="26" max="16384" width="9" style="3"/>
  </cols>
  <sheetData>
    <row r="1" spans="2:24" ht="13.8" thickBot="1"/>
    <row r="2" spans="2:24" ht="13.8" thickBot="1">
      <c r="B2" s="2" t="s">
        <v>178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T2" s="203" t="s">
        <v>83</v>
      </c>
      <c r="U2" s="204"/>
      <c r="V2" s="204"/>
      <c r="W2" s="204"/>
      <c r="X2" s="205"/>
    </row>
    <row r="4" spans="2:24">
      <c r="B4" s="5"/>
      <c r="C4" s="6"/>
      <c r="D4" s="6"/>
      <c r="E4" s="6"/>
      <c r="F4" s="6"/>
      <c r="G4" s="6"/>
      <c r="H4" s="7"/>
      <c r="I4" s="16"/>
      <c r="J4" s="201" t="s">
        <v>31</v>
      </c>
      <c r="K4" s="201"/>
      <c r="L4" s="201"/>
      <c r="M4" s="201"/>
      <c r="N4" s="201"/>
      <c r="O4" s="201"/>
      <c r="P4" s="201"/>
      <c r="Q4" s="16"/>
      <c r="R4" s="5"/>
      <c r="S4" s="6"/>
      <c r="T4" s="6"/>
      <c r="U4" s="6"/>
      <c r="V4" s="6"/>
      <c r="W4" s="6"/>
      <c r="X4" s="7"/>
    </row>
    <row r="5" spans="2:24">
      <c r="B5" s="8"/>
      <c r="C5" s="10"/>
      <c r="D5" s="10"/>
      <c r="E5" s="10"/>
      <c r="F5" s="10"/>
      <c r="G5" s="10"/>
      <c r="H5" s="9"/>
      <c r="I5" s="16"/>
      <c r="J5" s="202" t="s">
        <v>32</v>
      </c>
      <c r="K5" s="202"/>
      <c r="L5" s="202"/>
      <c r="M5" s="202"/>
      <c r="N5" s="202"/>
      <c r="O5" s="202"/>
      <c r="P5" s="202"/>
      <c r="Q5" s="16"/>
      <c r="R5" s="8"/>
      <c r="S5" s="10"/>
      <c r="T5" s="10"/>
      <c r="U5" s="10"/>
      <c r="V5" s="10"/>
      <c r="W5" s="10"/>
      <c r="X5" s="9"/>
    </row>
    <row r="6" spans="2:24" ht="13.8" thickBot="1">
      <c r="B6" s="8"/>
      <c r="C6" s="10"/>
      <c r="D6" s="10"/>
      <c r="E6" s="10"/>
      <c r="F6" s="10"/>
      <c r="G6" s="10"/>
      <c r="H6" s="9"/>
      <c r="I6" s="16"/>
      <c r="J6" s="16"/>
      <c r="K6" s="16"/>
      <c r="L6" s="16"/>
      <c r="M6" s="16"/>
      <c r="N6" s="16"/>
      <c r="O6" s="16"/>
      <c r="P6" s="16"/>
      <c r="Q6" s="16"/>
      <c r="R6" s="8"/>
      <c r="S6" s="10"/>
      <c r="T6" s="10"/>
      <c r="U6" s="10"/>
      <c r="V6" s="10"/>
      <c r="W6" s="10"/>
      <c r="X6" s="9"/>
    </row>
    <row r="7" spans="2:24" ht="13.8" thickBot="1">
      <c r="B7" s="8" t="s">
        <v>52</v>
      </c>
      <c r="C7" s="10" t="s">
        <v>30</v>
      </c>
      <c r="D7" s="16"/>
      <c r="E7" s="198">
        <v>146.1</v>
      </c>
      <c r="F7" s="199"/>
      <c r="G7" s="200"/>
      <c r="H7" s="9"/>
      <c r="I7" s="16"/>
      <c r="J7" s="16"/>
      <c r="K7" s="16"/>
      <c r="L7" s="16"/>
      <c r="M7" s="16"/>
      <c r="N7" s="16"/>
      <c r="O7" s="16"/>
      <c r="P7" s="16"/>
      <c r="Q7" s="16"/>
      <c r="R7" s="8" t="s">
        <v>53</v>
      </c>
      <c r="S7" s="10" t="s">
        <v>30</v>
      </c>
      <c r="T7" s="16"/>
      <c r="U7" s="198">
        <v>144.88</v>
      </c>
      <c r="V7" s="199"/>
      <c r="W7" s="200"/>
      <c r="X7" s="9"/>
    </row>
    <row r="8" spans="2:24">
      <c r="B8" s="8"/>
      <c r="C8" s="10"/>
      <c r="D8" s="10"/>
      <c r="E8" s="10"/>
      <c r="F8" s="10"/>
      <c r="G8" s="10"/>
      <c r="H8" s="9"/>
      <c r="I8" s="16"/>
      <c r="J8" s="16"/>
      <c r="K8" s="16"/>
      <c r="L8" s="16"/>
      <c r="M8" s="16"/>
      <c r="N8" s="16"/>
      <c r="O8" s="16"/>
      <c r="P8" s="16"/>
      <c r="Q8" s="16"/>
      <c r="R8" s="8"/>
      <c r="S8" s="10"/>
      <c r="T8" s="10"/>
      <c r="U8" s="10"/>
      <c r="V8" s="10"/>
      <c r="W8" s="10"/>
      <c r="X8" s="9"/>
    </row>
    <row r="9" spans="2:24">
      <c r="B9" s="8"/>
      <c r="C9" s="10"/>
      <c r="D9" s="10"/>
      <c r="E9" s="10"/>
      <c r="F9" s="10"/>
      <c r="G9" s="10"/>
      <c r="H9" s="9"/>
      <c r="I9" s="16"/>
      <c r="J9" s="16"/>
      <c r="K9" s="16"/>
      <c r="L9" s="16"/>
      <c r="M9" s="16"/>
      <c r="N9" s="16"/>
      <c r="O9" s="16"/>
      <c r="P9" s="16"/>
      <c r="Q9" s="16"/>
      <c r="R9" s="8"/>
      <c r="S9" s="10"/>
      <c r="T9" s="10"/>
      <c r="U9" s="10"/>
      <c r="V9" s="10"/>
      <c r="W9" s="10"/>
      <c r="X9" s="9"/>
    </row>
    <row r="10" spans="2:24">
      <c r="B10" s="11"/>
      <c r="C10" s="12"/>
      <c r="D10" s="12"/>
      <c r="E10" s="12"/>
      <c r="F10" s="12"/>
      <c r="G10" s="12"/>
      <c r="H10" s="13"/>
      <c r="I10" s="16"/>
      <c r="J10" s="5"/>
      <c r="K10" s="6"/>
      <c r="L10" s="6"/>
      <c r="M10" s="6"/>
      <c r="N10" s="6"/>
      <c r="O10" s="6"/>
      <c r="P10" s="7"/>
      <c r="Q10" s="16"/>
      <c r="R10" s="11"/>
      <c r="S10" s="12"/>
      <c r="T10" s="12"/>
      <c r="U10" s="12"/>
      <c r="V10" s="12"/>
      <c r="W10" s="12"/>
      <c r="X10" s="13"/>
    </row>
    <row r="11" spans="2:24">
      <c r="B11" s="16"/>
      <c r="C11" s="16"/>
      <c r="D11" s="16"/>
      <c r="E11" s="16"/>
      <c r="F11" s="16"/>
      <c r="G11" s="16"/>
      <c r="H11" s="16"/>
      <c r="I11" s="16"/>
      <c r="J11" s="8"/>
      <c r="K11" s="10"/>
      <c r="L11" s="10"/>
      <c r="M11" s="10"/>
      <c r="N11" s="10"/>
      <c r="O11" s="10"/>
      <c r="P11" s="9"/>
      <c r="Q11" s="16"/>
      <c r="R11" s="16"/>
      <c r="S11" s="16"/>
      <c r="T11" s="16"/>
      <c r="U11" s="16"/>
      <c r="V11" s="16"/>
      <c r="W11" s="16"/>
      <c r="X11" s="16"/>
    </row>
    <row r="12" spans="2:24" ht="13.8" thickBot="1">
      <c r="B12" s="16"/>
      <c r="C12" s="16"/>
      <c r="D12" s="16"/>
      <c r="E12" s="16"/>
      <c r="F12" s="16"/>
      <c r="G12" s="16"/>
      <c r="H12" s="16"/>
      <c r="I12" s="16"/>
      <c r="J12" s="8"/>
      <c r="K12" s="10"/>
      <c r="L12" s="10"/>
      <c r="M12" s="10"/>
      <c r="N12" s="10"/>
      <c r="O12" s="10"/>
      <c r="P12" s="9"/>
      <c r="Q12" s="16"/>
      <c r="R12" s="16"/>
      <c r="S12" s="16"/>
      <c r="T12" s="16"/>
      <c r="U12" s="16"/>
      <c r="V12" s="16"/>
      <c r="W12" s="16"/>
      <c r="X12" s="16"/>
    </row>
    <row r="13" spans="2:24" ht="13.8" thickBot="1">
      <c r="B13" s="16"/>
      <c r="C13" s="16"/>
      <c r="D13" s="16"/>
      <c r="E13" s="16"/>
      <c r="F13" s="16"/>
      <c r="G13" s="16"/>
      <c r="H13" s="16"/>
      <c r="I13" s="16"/>
      <c r="J13" s="8" t="s">
        <v>54</v>
      </c>
      <c r="K13" s="10" t="s">
        <v>30</v>
      </c>
      <c r="L13" s="16"/>
      <c r="M13" s="198">
        <v>160.99</v>
      </c>
      <c r="N13" s="199"/>
      <c r="O13" s="200"/>
      <c r="P13" s="9"/>
      <c r="Q13" s="16"/>
      <c r="R13" s="16"/>
      <c r="S13" s="16"/>
      <c r="T13" s="16"/>
      <c r="U13" s="16"/>
      <c r="V13" s="16"/>
      <c r="W13" s="16"/>
      <c r="X13" s="16"/>
    </row>
    <row r="14" spans="2:24">
      <c r="B14" s="16"/>
      <c r="C14" s="16"/>
      <c r="D14" s="16"/>
      <c r="E14" s="16"/>
      <c r="F14" s="16"/>
      <c r="G14" s="16"/>
      <c r="H14" s="16"/>
      <c r="I14" s="16"/>
      <c r="J14" s="8"/>
      <c r="K14" s="10"/>
      <c r="L14" s="10"/>
      <c r="M14" s="10"/>
      <c r="N14" s="10"/>
      <c r="O14" s="10"/>
      <c r="P14" s="9"/>
      <c r="Q14" s="16"/>
      <c r="R14" s="16"/>
      <c r="S14" s="16"/>
      <c r="T14" s="16"/>
      <c r="U14" s="16"/>
      <c r="V14" s="16"/>
      <c r="W14" s="16"/>
      <c r="X14" s="16"/>
    </row>
    <row r="15" spans="2:24">
      <c r="B15" s="16"/>
      <c r="C15" s="16"/>
      <c r="D15" s="16"/>
      <c r="E15" s="16"/>
      <c r="F15" s="16"/>
      <c r="G15" s="16"/>
      <c r="H15" s="16"/>
      <c r="I15" s="16"/>
      <c r="J15" s="8"/>
      <c r="K15" s="10"/>
      <c r="L15" s="10"/>
      <c r="M15" s="10"/>
      <c r="N15" s="10"/>
      <c r="O15" s="10"/>
      <c r="P15" s="9"/>
      <c r="Q15" s="16"/>
      <c r="R15" s="16"/>
      <c r="S15" s="16"/>
      <c r="T15" s="16"/>
      <c r="U15" s="16"/>
      <c r="V15" s="16"/>
      <c r="W15" s="16"/>
      <c r="X15" s="16"/>
    </row>
    <row r="16" spans="2:24">
      <c r="B16" s="5"/>
      <c r="C16" s="6"/>
      <c r="D16" s="6"/>
      <c r="E16" s="6"/>
      <c r="F16" s="6"/>
      <c r="G16" s="6"/>
      <c r="H16" s="7"/>
      <c r="I16" s="16"/>
      <c r="J16" s="11"/>
      <c r="K16" s="12"/>
      <c r="L16" s="12"/>
      <c r="M16" s="12"/>
      <c r="N16" s="12"/>
      <c r="O16" s="12"/>
      <c r="P16" s="13"/>
      <c r="Q16" s="16"/>
      <c r="R16" s="5"/>
      <c r="S16" s="6"/>
      <c r="T16" s="6"/>
      <c r="U16" s="6"/>
      <c r="V16" s="6"/>
      <c r="W16" s="6"/>
      <c r="X16" s="7"/>
    </row>
    <row r="17" spans="2:24">
      <c r="B17" s="8"/>
      <c r="C17" s="10"/>
      <c r="D17" s="10"/>
      <c r="E17" s="10"/>
      <c r="F17" s="10"/>
      <c r="G17" s="10"/>
      <c r="H17" s="9"/>
      <c r="I17" s="16"/>
      <c r="J17" s="16"/>
      <c r="K17" s="16"/>
      <c r="L17" s="16"/>
      <c r="M17" s="16"/>
      <c r="N17" s="16"/>
      <c r="O17" s="16"/>
      <c r="P17" s="16"/>
      <c r="Q17" s="16"/>
      <c r="R17" s="8"/>
      <c r="S17" s="10"/>
      <c r="T17" s="10"/>
      <c r="U17" s="10"/>
      <c r="V17" s="10"/>
      <c r="W17" s="10"/>
      <c r="X17" s="9"/>
    </row>
    <row r="18" spans="2:24" ht="13.8" thickBot="1">
      <c r="B18" s="8"/>
      <c r="C18" s="10"/>
      <c r="D18" s="10"/>
      <c r="E18" s="10"/>
      <c r="F18" s="10"/>
      <c r="G18" s="10"/>
      <c r="H18" s="9"/>
      <c r="I18" s="16"/>
      <c r="J18" s="16"/>
      <c r="K18" s="16"/>
      <c r="L18" s="16"/>
      <c r="M18" s="16"/>
      <c r="N18" s="16"/>
      <c r="O18" s="16"/>
      <c r="P18" s="16"/>
      <c r="Q18" s="16"/>
      <c r="R18" s="8"/>
      <c r="S18" s="10"/>
      <c r="T18" s="10"/>
      <c r="U18" s="10"/>
      <c r="V18" s="10"/>
      <c r="W18" s="10"/>
      <c r="X18" s="9"/>
    </row>
    <row r="19" spans="2:24" ht="13.8" thickBot="1">
      <c r="B19" s="8" t="s">
        <v>55</v>
      </c>
      <c r="C19" s="10" t="s">
        <v>30</v>
      </c>
      <c r="D19" s="16"/>
      <c r="E19" s="198">
        <v>151.57</v>
      </c>
      <c r="F19" s="199"/>
      <c r="G19" s="200"/>
      <c r="H19" s="9"/>
      <c r="I19" s="16"/>
      <c r="J19" s="16"/>
      <c r="K19" s="16"/>
      <c r="L19" s="16"/>
      <c r="M19" s="16"/>
      <c r="N19" s="16"/>
      <c r="O19" s="16"/>
      <c r="P19" s="16"/>
      <c r="Q19" s="16"/>
      <c r="R19" s="8" t="s">
        <v>56</v>
      </c>
      <c r="S19" s="10" t="s">
        <v>30</v>
      </c>
      <c r="T19" s="16"/>
      <c r="U19" s="198">
        <v>149.63999999999999</v>
      </c>
      <c r="V19" s="199"/>
      <c r="W19" s="200"/>
      <c r="X19" s="9"/>
    </row>
    <row r="20" spans="2:24">
      <c r="B20" s="8"/>
      <c r="C20" s="10"/>
      <c r="D20" s="10"/>
      <c r="E20" s="10"/>
      <c r="F20" s="10"/>
      <c r="G20" s="10"/>
      <c r="H20" s="9"/>
      <c r="I20" s="16"/>
      <c r="J20" s="16"/>
      <c r="K20" s="16"/>
      <c r="L20" s="16"/>
      <c r="M20" s="16"/>
      <c r="N20" s="16"/>
      <c r="O20" s="16"/>
      <c r="P20" s="16"/>
      <c r="Q20" s="16"/>
      <c r="R20" s="8"/>
      <c r="S20" s="10"/>
      <c r="T20" s="10"/>
      <c r="U20" s="10"/>
      <c r="V20" s="10"/>
      <c r="W20" s="10"/>
      <c r="X20" s="9"/>
    </row>
    <row r="21" spans="2:24">
      <c r="B21" s="8"/>
      <c r="C21" s="10"/>
      <c r="D21" s="10"/>
      <c r="E21" s="10"/>
      <c r="F21" s="10"/>
      <c r="G21" s="10"/>
      <c r="H21" s="9"/>
      <c r="I21" s="16"/>
      <c r="J21" s="16"/>
      <c r="K21" s="16"/>
      <c r="L21" s="16"/>
      <c r="M21" s="16"/>
      <c r="N21" s="16"/>
      <c r="O21" s="16"/>
      <c r="P21" s="16"/>
      <c r="Q21" s="16"/>
      <c r="R21" s="8"/>
      <c r="S21" s="10"/>
      <c r="T21" s="10"/>
      <c r="U21" s="10"/>
      <c r="V21" s="10"/>
      <c r="W21" s="10"/>
      <c r="X21" s="9"/>
    </row>
    <row r="22" spans="2:24">
      <c r="B22" s="11"/>
      <c r="C22" s="12"/>
      <c r="D22" s="12"/>
      <c r="E22" s="12"/>
      <c r="F22" s="12"/>
      <c r="G22" s="12"/>
      <c r="H22" s="13"/>
      <c r="I22" s="16"/>
      <c r="J22" s="16"/>
      <c r="K22" s="16"/>
      <c r="L22" s="16"/>
      <c r="M22" s="16"/>
      <c r="N22" s="16"/>
      <c r="O22" s="16"/>
      <c r="P22" s="16"/>
      <c r="Q22" s="16"/>
      <c r="R22" s="11"/>
      <c r="S22" s="12"/>
      <c r="T22" s="12"/>
      <c r="U22" s="12"/>
      <c r="V22" s="12"/>
      <c r="W22" s="12"/>
      <c r="X22" s="13"/>
    </row>
    <row r="24" spans="2:24">
      <c r="E24" s="38"/>
      <c r="F24" s="38"/>
      <c r="G24" s="38"/>
    </row>
    <row r="25" spans="2:24" ht="30.75" customHeight="1">
      <c r="B25" s="41" t="s">
        <v>0</v>
      </c>
      <c r="C25" s="42"/>
      <c r="D25" s="42"/>
      <c r="E25" s="43"/>
      <c r="F25" s="43"/>
      <c r="G25" s="43"/>
      <c r="H25" s="44"/>
      <c r="I25" s="209" t="s">
        <v>164</v>
      </c>
      <c r="J25" s="210"/>
      <c r="K25" s="210"/>
      <c r="L25" s="210"/>
      <c r="M25" s="210"/>
      <c r="N25" s="210"/>
      <c r="O25" s="210"/>
      <c r="P25" s="210"/>
      <c r="Q25" s="211"/>
      <c r="R25" s="212">
        <f>((R26-R27)/(R26+R27))*200</f>
        <v>10.533886945434343</v>
      </c>
      <c r="S25" s="213"/>
      <c r="T25" s="213"/>
      <c r="U25" s="213"/>
      <c r="V25" s="213"/>
      <c r="W25" s="213"/>
      <c r="X25" s="214"/>
    </row>
    <row r="26" spans="2:24" ht="15.6">
      <c r="B26" s="195" t="s">
        <v>165</v>
      </c>
      <c r="C26" s="196"/>
      <c r="D26" s="196"/>
      <c r="E26" s="196"/>
      <c r="F26" s="196"/>
      <c r="G26" s="196"/>
      <c r="H26" s="197"/>
      <c r="I26" s="215"/>
      <c r="J26" s="216"/>
      <c r="K26" s="216"/>
      <c r="L26" s="216"/>
      <c r="M26" s="216"/>
      <c r="N26" s="216"/>
      <c r="O26" s="216"/>
      <c r="P26" s="216"/>
      <c r="Q26" s="217"/>
      <c r="R26" s="206">
        <f>MAX(E7,U7,M13,E19,U19)</f>
        <v>160.99</v>
      </c>
      <c r="S26" s="207"/>
      <c r="T26" s="207"/>
      <c r="U26" s="207"/>
      <c r="V26" s="207"/>
      <c r="W26" s="207"/>
      <c r="X26" s="208"/>
    </row>
    <row r="27" spans="2:24" ht="15.6">
      <c r="B27" s="195" t="s">
        <v>166</v>
      </c>
      <c r="C27" s="196"/>
      <c r="D27" s="196"/>
      <c r="E27" s="196"/>
      <c r="F27" s="196"/>
      <c r="G27" s="196"/>
      <c r="H27" s="197"/>
      <c r="I27" s="215"/>
      <c r="J27" s="216"/>
      <c r="K27" s="216"/>
      <c r="L27" s="216"/>
      <c r="M27" s="216"/>
      <c r="N27" s="216"/>
      <c r="O27" s="216"/>
      <c r="P27" s="216"/>
      <c r="Q27" s="217"/>
      <c r="R27" s="206">
        <f>MIN(E7,U7,M13,E19,U19)</f>
        <v>144.88</v>
      </c>
      <c r="S27" s="207"/>
      <c r="T27" s="207"/>
      <c r="U27" s="207"/>
      <c r="V27" s="207"/>
      <c r="W27" s="207"/>
      <c r="X27" s="208"/>
    </row>
  </sheetData>
  <sheetProtection password="C97F" sheet="1" objects="1" scenarios="1"/>
  <mergeCells count="16">
    <mergeCell ref="T2:X2"/>
    <mergeCell ref="R26:X26"/>
    <mergeCell ref="R27:X27"/>
    <mergeCell ref="I25:Q25"/>
    <mergeCell ref="R25:X25"/>
    <mergeCell ref="M13:O13"/>
    <mergeCell ref="I26:Q26"/>
    <mergeCell ref="I27:Q27"/>
    <mergeCell ref="B26:H26"/>
    <mergeCell ref="B27:H27"/>
    <mergeCell ref="E19:G19"/>
    <mergeCell ref="U19:W19"/>
    <mergeCell ref="J4:P4"/>
    <mergeCell ref="J5:P5"/>
    <mergeCell ref="E7:G7"/>
    <mergeCell ref="U7:W7"/>
  </mergeCells>
  <phoneticPr fontId="2"/>
  <printOptions horizontalCentered="1"/>
  <pageMargins left="0.78740157480314965" right="0.78740157480314965" top="0.59055118110236227" bottom="0.59055118110236227" header="0.51181102362204722" footer="0.51181102362204722"/>
  <pageSetup paperSize="9" orientation="landscape" horizontalDpi="300" verticalDpi="300" copies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Q45"/>
  <sheetViews>
    <sheetView zoomScaleNormal="100" workbookViewId="0">
      <selection activeCell="H32" sqref="H32"/>
    </sheetView>
  </sheetViews>
  <sheetFormatPr defaultColWidth="10.88671875" defaultRowHeight="13.2"/>
  <cols>
    <col min="1" max="1" width="2.77734375" style="3" customWidth="1"/>
    <col min="2" max="2" width="10.88671875" style="3" customWidth="1"/>
    <col min="3" max="3" width="10.77734375" style="3" customWidth="1"/>
    <col min="4" max="4" width="10.88671875" style="3" customWidth="1"/>
    <col min="5" max="5" width="5.88671875" style="3" hidden="1" customWidth="1"/>
    <col min="6" max="6" width="6.88671875" style="3" hidden="1" customWidth="1"/>
    <col min="7" max="7" width="6.33203125" style="3" hidden="1" customWidth="1"/>
    <col min="8" max="8" width="15.33203125" style="3" bestFit="1" customWidth="1"/>
    <col min="9" max="9" width="10.88671875" style="3" customWidth="1"/>
    <col min="10" max="10" width="3" style="3" customWidth="1"/>
    <col min="11" max="17" width="9.6640625" style="3" customWidth="1"/>
    <col min="18" max="25" width="10.88671875" style="3" customWidth="1"/>
    <col min="26" max="31" width="10.88671875" style="78" customWidth="1"/>
    <col min="32" max="16384" width="10.88671875" style="3"/>
  </cols>
  <sheetData>
    <row r="1" spans="2:37" ht="13.8" thickBot="1"/>
    <row r="2" spans="2:37" ht="13.8" thickBot="1">
      <c r="B2" s="2"/>
      <c r="J2" s="203" t="s">
        <v>83</v>
      </c>
      <c r="K2" s="205"/>
      <c r="R2" s="292"/>
      <c r="S2" s="292"/>
      <c r="T2" s="292"/>
      <c r="U2" s="292"/>
      <c r="V2" s="292"/>
      <c r="W2" s="292"/>
      <c r="X2" s="292"/>
      <c r="Y2" s="292"/>
      <c r="Z2" s="292"/>
      <c r="AA2" s="292"/>
      <c r="AB2" s="292"/>
      <c r="AC2" s="292"/>
      <c r="AD2" s="292"/>
      <c r="AE2" s="283"/>
      <c r="AF2" s="283"/>
      <c r="AG2" s="283"/>
    </row>
    <row r="3" spans="2:37">
      <c r="B3" s="2" t="s">
        <v>169</v>
      </c>
      <c r="R3" s="292"/>
      <c r="S3" s="292"/>
      <c r="T3" s="292"/>
      <c r="U3" s="292"/>
      <c r="V3" s="292"/>
      <c r="W3" s="292"/>
      <c r="X3" s="292"/>
      <c r="Y3" s="292"/>
      <c r="Z3" s="292"/>
      <c r="AA3" s="292"/>
      <c r="AB3" s="292"/>
      <c r="AC3" s="292"/>
      <c r="AD3" s="292"/>
      <c r="AE3" s="283"/>
      <c r="AF3" s="283"/>
      <c r="AG3" s="283"/>
    </row>
    <row r="4" spans="2:37" ht="13.8" thickBot="1">
      <c r="B4" s="59" t="s">
        <v>34</v>
      </c>
      <c r="C4" s="59" t="s">
        <v>35</v>
      </c>
      <c r="D4" s="60" t="s">
        <v>82</v>
      </c>
      <c r="E4" s="60" t="s">
        <v>80</v>
      </c>
      <c r="F4" s="60" t="s">
        <v>87</v>
      </c>
      <c r="G4" s="60" t="s">
        <v>81</v>
      </c>
      <c r="H4" s="61" t="s">
        <v>86</v>
      </c>
      <c r="I4" s="60" t="s">
        <v>168</v>
      </c>
      <c r="R4" s="292"/>
      <c r="S4" s="293" t="s">
        <v>98</v>
      </c>
      <c r="T4" s="294" t="s">
        <v>91</v>
      </c>
      <c r="U4" s="294" t="s">
        <v>92</v>
      </c>
      <c r="V4" s="294" t="s">
        <v>93</v>
      </c>
      <c r="W4" s="294" t="s">
        <v>94</v>
      </c>
      <c r="X4" s="295" t="s">
        <v>95</v>
      </c>
      <c r="Y4" s="294" t="s">
        <v>96</v>
      </c>
      <c r="Z4" s="296"/>
      <c r="AA4" s="296" t="s">
        <v>97</v>
      </c>
      <c r="AB4" s="297">
        <f>IF(受入試験!D12="グレード1A",10%,(IF(受入試験!D12="グレード1B",15%,30%)))</f>
        <v>0.1</v>
      </c>
      <c r="AC4" s="298">
        <f>IF(受入試験!D12="グレード1A",-10%,(IF(受入試験!D12="グレード1B",-15%,-30%)))</f>
        <v>-0.1</v>
      </c>
      <c r="AD4" s="296"/>
      <c r="AE4" s="286"/>
      <c r="AF4" s="283"/>
      <c r="AG4" s="283"/>
    </row>
    <row r="5" spans="2:37" ht="13.8" thickBot="1">
      <c r="B5" s="81" t="s">
        <v>126</v>
      </c>
      <c r="C5" s="14">
        <v>0.49298799999999998</v>
      </c>
      <c r="D5" s="75">
        <f>71.498068+94.593053*LOG(C5)+41.912053*(LOG(C5))^2+9.8247004*(LOG(C5))^3+0.28175407*(LOG(C5))^4-1.1878455*(LOG(C5))^5-0.18014349*(LOG(C5))^6+0.14710899*(LOG(C5))^7-0.017046845*(LOG(C5))^8</f>
        <v>46.117740406511466</v>
      </c>
      <c r="E5" s="62">
        <f>C6-C5</f>
        <v>0.79060900000000012</v>
      </c>
      <c r="F5" s="62">
        <f>E5/2+C5</f>
        <v>0.88829250000000004</v>
      </c>
      <c r="G5" s="63">
        <f>E5/F5</f>
        <v>0.89003228103355603</v>
      </c>
      <c r="H5" s="64">
        <f>G5/((D$22-D$5)/17)</f>
        <v>2.4338340484375734E-2</v>
      </c>
      <c r="I5" s="65">
        <f>((H5-AA5)/AA5)*100</f>
        <v>-0.81610589055536842</v>
      </c>
      <c r="R5" s="292"/>
      <c r="S5" s="299">
        <f>D5</f>
        <v>46.117740406511466</v>
      </c>
      <c r="T5" s="300">
        <f>C5</f>
        <v>0.49298799999999998</v>
      </c>
      <c r="U5" s="301">
        <f>T6-T5</f>
        <v>0.80240844693865143</v>
      </c>
      <c r="V5" s="301">
        <f>U5/2+T5</f>
        <v>0.8941922234693257</v>
      </c>
      <c r="W5" s="302">
        <f>U5/V5</f>
        <v>0.89735565338002199</v>
      </c>
      <c r="X5" s="303">
        <f>W5/((S$22-S$5)/17)</f>
        <v>2.4538601456320672E-2</v>
      </c>
      <c r="Y5" s="304">
        <f>((S6-S5)/2)+S5</f>
        <v>64.402312471006212</v>
      </c>
      <c r="Z5" s="292"/>
      <c r="AA5" s="305">
        <f>X5</f>
        <v>2.4538601456320672E-2</v>
      </c>
      <c r="AB5" s="305">
        <f>AA5*(1+$AB$4)</f>
        <v>2.6992461601952743E-2</v>
      </c>
      <c r="AC5" s="305">
        <f>AA5*(1+$AC$4)</f>
        <v>2.2084741310688605E-2</v>
      </c>
      <c r="AD5" s="305"/>
      <c r="AE5" s="289"/>
      <c r="AF5" s="285"/>
      <c r="AG5" s="285"/>
      <c r="AH5" s="51"/>
      <c r="AI5" s="51"/>
      <c r="AJ5" s="51"/>
      <c r="AK5" s="51"/>
    </row>
    <row r="6" spans="2:37" ht="13.8" thickBot="1">
      <c r="B6" s="48" t="s">
        <v>127</v>
      </c>
      <c r="C6" s="14">
        <v>1.2835970000000001</v>
      </c>
      <c r="D6" s="76">
        <f t="shared" ref="D6:D21" si="0">71.498068+94.593053*LOG(C6)+41.912053*(LOG(C6))^2+9.8247004*(LOG(C6))^3+0.28175407*(LOG(C6))^4-1.1878455*(LOG(C6))^5-0.18014349*(LOG(C6))^6+0.14710899*(LOG(C6))^7-0.017046845*(LOG(C6))^8</f>
        <v>82.259965125430554</v>
      </c>
      <c r="E6" s="66">
        <f t="shared" ref="E6:E21" si="1">C7-C6</f>
        <v>1.3148389999999999</v>
      </c>
      <c r="F6" s="66">
        <f t="shared" ref="F6:F21" si="2">E6/2+C6</f>
        <v>1.9410164999999999</v>
      </c>
      <c r="G6" s="67">
        <f t="shared" ref="G6:G21" si="3">E6/F6</f>
        <v>0.67739712671169972</v>
      </c>
      <c r="H6" s="68">
        <f t="shared" ref="H6:H21" si="4">G6/((D$22-D$5)/17)</f>
        <v>1.8523734772745371E-2</v>
      </c>
      <c r="I6" s="69">
        <f>((H6-AA6)/AA6)*100</f>
        <v>-0.14011081891652716</v>
      </c>
      <c r="R6" s="292"/>
      <c r="S6" s="299">
        <f>(($D$22-$D$5)/17)+S5</f>
        <v>82.686884535500951</v>
      </c>
      <c r="T6" s="300">
        <f>10^(((-1.3011877+8.0242636*10^(-2)*(LN(S6))+1.3646699*10^(-1)*(LN(S6))^2-2.5468404*10^(-2)*(LN(S6))^3+1.3635334*10^(-3)*(LN(S6))^4))/(1-2.5840191*10^(-2)*(LN(S6))-1.0320229*10^(-1)*(LN(S6))^2+2.874562*10^(-2)*(LN(S6))^3-3.1978977*10^(-3)*(LN(S6))^4+1.2992634*10^(-4)*(LN(S6))^5))</f>
        <v>1.2953964469386514</v>
      </c>
      <c r="U6" s="301">
        <f t="shared" ref="U6:U21" si="5">T7-T6</f>
        <v>1.3297429827975089</v>
      </c>
      <c r="V6" s="301">
        <f t="shared" ref="V6:V21" si="6">U6/2+T6</f>
        <v>1.960267938337406</v>
      </c>
      <c r="W6" s="302">
        <f t="shared" ref="W6:W21" si="7">U6/V6</f>
        <v>0.6783475650401779</v>
      </c>
      <c r="X6" s="303">
        <f t="shared" ref="X6:X21" si="8">W6/((S$22-S$5)/17)</f>
        <v>1.8549724944271553E-2</v>
      </c>
      <c r="Y6" s="304">
        <f t="shared" ref="Y6:Y21" si="9">((S7-S6)/2)+S6</f>
        <v>100.97145659999569</v>
      </c>
      <c r="Z6" s="292"/>
      <c r="AA6" s="305">
        <f t="shared" ref="AA6:AA21" si="10">X6</f>
        <v>1.8549724944271553E-2</v>
      </c>
      <c r="AB6" s="305">
        <f t="shared" ref="AB6:AB21" si="11">AA6*(1+$AB$4)</f>
        <v>2.0404697438698709E-2</v>
      </c>
      <c r="AC6" s="305">
        <f>AA6*(1+$AC$4)</f>
        <v>1.6694752449844398E-2</v>
      </c>
      <c r="AD6" s="305"/>
      <c r="AE6" s="289"/>
      <c r="AF6" s="284"/>
      <c r="AG6" s="284"/>
      <c r="AH6" s="53"/>
      <c r="AI6" s="53"/>
      <c r="AJ6" s="53"/>
      <c r="AK6" s="54"/>
    </row>
    <row r="7" spans="2:37" ht="13.8" thickBot="1">
      <c r="B7" s="48" t="s">
        <v>128</v>
      </c>
      <c r="C7" s="15">
        <v>2.598436</v>
      </c>
      <c r="D7" s="76">
        <f t="shared" si="0"/>
        <v>118.62911916502964</v>
      </c>
      <c r="E7" s="66">
        <f t="shared" si="1"/>
        <v>1.9640140000000001</v>
      </c>
      <c r="F7" s="66">
        <f t="shared" si="2"/>
        <v>3.5804429999999998</v>
      </c>
      <c r="G7" s="67">
        <f t="shared" si="3"/>
        <v>0.54853938465156415</v>
      </c>
      <c r="H7" s="68">
        <f t="shared" si="4"/>
        <v>1.5000060781207076E-2</v>
      </c>
      <c r="I7" s="69">
        <f>((H7-AA7)/AA7)*100</f>
        <v>-0.75567430879071384</v>
      </c>
      <c r="R7" s="292"/>
      <c r="S7" s="299">
        <f t="shared" ref="S7:S21" si="12">(($D$22-$D$5)/17)+S6</f>
        <v>119.25602866449043</v>
      </c>
      <c r="T7" s="300">
        <f t="shared" ref="T7:T21" si="13">10^(((-1.3011877+8.0242636*10^(-2)*(LN(S7))+1.3646699*10^(-1)*(LN(S7))^2-2.5468404*10^(-2)*(LN(S7))^3+1.3635334*10^(-3)*(LN(S7))^4))/(1-2.5840191*10^(-2)*(LN(S7))-1.0320229*10^(-1)*(LN(S7))^2+2.874562*10^(-2)*(LN(S7))^3-3.1978977*10^(-3)*(LN(S7))^4+1.2992634*10^(-4)*(LN(S7))^5))</f>
        <v>2.6251394297361603</v>
      </c>
      <c r="U7" s="301">
        <f t="shared" si="5"/>
        <v>2.0050757065132432</v>
      </c>
      <c r="V7" s="301">
        <f t="shared" si="6"/>
        <v>3.6276772829927819</v>
      </c>
      <c r="W7" s="302">
        <f t="shared" si="7"/>
        <v>0.55271611835854495</v>
      </c>
      <c r="X7" s="303">
        <f t="shared" si="8"/>
        <v>1.5114275477953827E-2</v>
      </c>
      <c r="Y7" s="304">
        <f t="shared" si="9"/>
        <v>137.54060072898517</v>
      </c>
      <c r="Z7" s="292"/>
      <c r="AA7" s="305">
        <f t="shared" si="10"/>
        <v>1.5114275477953827E-2</v>
      </c>
      <c r="AB7" s="305">
        <f t="shared" si="11"/>
        <v>1.662570302574921E-2</v>
      </c>
      <c r="AC7" s="305">
        <f t="shared" ref="AC7:AC21" si="14">AA7*(1+$AC$4)</f>
        <v>1.3602847930158445E-2</v>
      </c>
      <c r="AD7" s="305"/>
      <c r="AE7" s="289"/>
      <c r="AF7" s="290"/>
      <c r="AG7" s="288"/>
      <c r="AH7" s="58"/>
      <c r="AI7" s="58"/>
      <c r="AJ7" s="58"/>
      <c r="AK7" s="58"/>
    </row>
    <row r="8" spans="2:37" ht="13.8" thickBot="1">
      <c r="B8" s="48" t="s">
        <v>129</v>
      </c>
      <c r="C8" s="14">
        <v>4.5624500000000001</v>
      </c>
      <c r="D8" s="76">
        <f t="shared" si="0"/>
        <v>154.7783781106065</v>
      </c>
      <c r="E8" s="66">
        <f t="shared" si="1"/>
        <v>2.9297069999999996</v>
      </c>
      <c r="F8" s="66">
        <f t="shared" si="2"/>
        <v>6.0273035000000004</v>
      </c>
      <c r="G8" s="67">
        <f t="shared" si="3"/>
        <v>0.48607258619049121</v>
      </c>
      <c r="H8" s="68">
        <f t="shared" si="4"/>
        <v>1.3291877558741292E-2</v>
      </c>
      <c r="I8" s="69">
        <f t="shared" ref="I8:I21" si="15">((H8-AA8)/AA8)*100</f>
        <v>2.8914745107274897</v>
      </c>
      <c r="R8" s="292"/>
      <c r="S8" s="299">
        <f t="shared" si="12"/>
        <v>155.82517279347991</v>
      </c>
      <c r="T8" s="300">
        <f t="shared" si="13"/>
        <v>4.6302151362494035</v>
      </c>
      <c r="U8" s="301">
        <f t="shared" si="5"/>
        <v>2.8638279114702785</v>
      </c>
      <c r="V8" s="301">
        <f t="shared" si="6"/>
        <v>6.0621290919845432</v>
      </c>
      <c r="W8" s="302">
        <f t="shared" si="7"/>
        <v>0.47241288795002462</v>
      </c>
      <c r="X8" s="303">
        <f t="shared" si="8"/>
        <v>1.2918346852299679E-2</v>
      </c>
      <c r="Y8" s="304">
        <f t="shared" si="9"/>
        <v>174.10974485797465</v>
      </c>
      <c r="Z8" s="292"/>
      <c r="AA8" s="305">
        <f t="shared" si="10"/>
        <v>1.2918346852299679E-2</v>
      </c>
      <c r="AB8" s="305">
        <f t="shared" si="11"/>
        <v>1.4210181537529648E-2</v>
      </c>
      <c r="AC8" s="305">
        <f t="shared" si="14"/>
        <v>1.1626512167069713E-2</v>
      </c>
      <c r="AD8" s="305"/>
      <c r="AE8" s="289"/>
      <c r="AF8" s="290"/>
      <c r="AG8" s="288"/>
      <c r="AH8" s="58"/>
      <c r="AI8" s="58"/>
      <c r="AJ8" s="58"/>
      <c r="AK8" s="58"/>
    </row>
    <row r="9" spans="2:37" ht="13.8" thickBot="1">
      <c r="B9" s="48" t="s">
        <v>130</v>
      </c>
      <c r="C9" s="14">
        <v>7.4921569999999997</v>
      </c>
      <c r="D9" s="76">
        <f t="shared" si="0"/>
        <v>192.39089840073385</v>
      </c>
      <c r="E9" s="66">
        <f t="shared" si="1"/>
        <v>3.9242250000000007</v>
      </c>
      <c r="F9" s="66">
        <f t="shared" si="2"/>
        <v>9.4542695000000005</v>
      </c>
      <c r="G9" s="67">
        <f t="shared" si="3"/>
        <v>0.41507437459869329</v>
      </c>
      <c r="H9" s="68">
        <f t="shared" si="4"/>
        <v>1.1350398935633034E-2</v>
      </c>
      <c r="I9" s="69">
        <f t="shared" si="15"/>
        <v>-0.56070012400485147</v>
      </c>
      <c r="R9" s="292"/>
      <c r="S9" s="299">
        <f t="shared" si="12"/>
        <v>192.39431692246939</v>
      </c>
      <c r="T9" s="300">
        <f t="shared" si="13"/>
        <v>7.494043047719682</v>
      </c>
      <c r="U9" s="301">
        <f t="shared" si="5"/>
        <v>3.9531832718803894</v>
      </c>
      <c r="V9" s="301">
        <f t="shared" si="6"/>
        <v>9.4706346836598776</v>
      </c>
      <c r="W9" s="302">
        <f t="shared" si="7"/>
        <v>0.41741482001211583</v>
      </c>
      <c r="X9" s="303">
        <f t="shared" si="8"/>
        <v>1.1414399487715061E-2</v>
      </c>
      <c r="Y9" s="304">
        <f t="shared" si="9"/>
        <v>210.67888898696413</v>
      </c>
      <c r="Z9" s="292"/>
      <c r="AA9" s="305">
        <f t="shared" si="10"/>
        <v>1.1414399487715061E-2</v>
      </c>
      <c r="AB9" s="305">
        <f t="shared" si="11"/>
        <v>1.2555839436486568E-2</v>
      </c>
      <c r="AC9" s="305">
        <f t="shared" si="14"/>
        <v>1.0272959538943556E-2</v>
      </c>
      <c r="AD9" s="305"/>
      <c r="AE9" s="289"/>
      <c r="AF9" s="290"/>
      <c r="AG9" s="288"/>
      <c r="AH9" s="58"/>
      <c r="AI9" s="58"/>
      <c r="AJ9" s="58"/>
      <c r="AK9" s="58"/>
    </row>
    <row r="10" spans="2:37" ht="13.8" thickBot="1">
      <c r="B10" s="48" t="s">
        <v>131</v>
      </c>
      <c r="C10" s="14">
        <v>11.416382</v>
      </c>
      <c r="D10" s="76">
        <f t="shared" si="0"/>
        <v>228.74587466418248</v>
      </c>
      <c r="E10" s="66">
        <f t="shared" si="1"/>
        <v>5.1816820000000003</v>
      </c>
      <c r="F10" s="66">
        <f t="shared" si="2"/>
        <v>14.007223</v>
      </c>
      <c r="G10" s="67">
        <f t="shared" si="3"/>
        <v>0.36992928576920642</v>
      </c>
      <c r="H10" s="68">
        <f t="shared" si="4"/>
        <v>1.0115885798813434E-2</v>
      </c>
      <c r="I10" s="69">
        <f t="shared" si="15"/>
        <v>-2.1032474300008266</v>
      </c>
      <c r="R10" s="292"/>
      <c r="S10" s="299">
        <f t="shared" si="12"/>
        <v>228.96346105145886</v>
      </c>
      <c r="T10" s="300">
        <f t="shared" si="13"/>
        <v>11.447226319600071</v>
      </c>
      <c r="U10" s="301">
        <f t="shared" si="5"/>
        <v>5.333310933875671</v>
      </c>
      <c r="V10" s="301">
        <f t="shared" si="6"/>
        <v>14.113881786537906</v>
      </c>
      <c r="W10" s="302">
        <f t="shared" si="7"/>
        <v>0.37787697350297256</v>
      </c>
      <c r="X10" s="303">
        <f t="shared" si="8"/>
        <v>1.0333218961048034E-2</v>
      </c>
      <c r="Y10" s="304">
        <f t="shared" si="9"/>
        <v>247.2480331159536</v>
      </c>
      <c r="Z10" s="292"/>
      <c r="AA10" s="305">
        <f t="shared" si="10"/>
        <v>1.0333218961048034E-2</v>
      </c>
      <c r="AB10" s="305">
        <f t="shared" si="11"/>
        <v>1.136654085715284E-2</v>
      </c>
      <c r="AC10" s="305">
        <f t="shared" si="14"/>
        <v>9.299897064943231E-3</v>
      </c>
      <c r="AD10" s="305"/>
      <c r="AE10" s="289"/>
      <c r="AF10" s="290"/>
      <c r="AG10" s="288"/>
      <c r="AH10" s="58"/>
      <c r="AI10" s="58"/>
      <c r="AJ10" s="58"/>
      <c r="AK10" s="58"/>
    </row>
    <row r="11" spans="2:37" ht="13.8" thickBot="1">
      <c r="B11" s="48" t="s">
        <v>132</v>
      </c>
      <c r="C11" s="14">
        <v>16.598064000000001</v>
      </c>
      <c r="D11" s="76">
        <f t="shared" si="0"/>
        <v>264.46474680521715</v>
      </c>
      <c r="E11" s="66">
        <f t="shared" si="1"/>
        <v>7.0932320000000004</v>
      </c>
      <c r="F11" s="66">
        <f t="shared" si="2"/>
        <v>20.144680000000001</v>
      </c>
      <c r="G11" s="67">
        <f t="shared" si="3"/>
        <v>0.35211440439858066</v>
      </c>
      <c r="H11" s="68">
        <f t="shared" si="4"/>
        <v>9.6287297060214418E-3</v>
      </c>
      <c r="I11" s="69">
        <f t="shared" si="15"/>
        <v>1.058818247143573</v>
      </c>
      <c r="R11" s="292"/>
      <c r="S11" s="299">
        <f t="shared" si="12"/>
        <v>265.53260518044834</v>
      </c>
      <c r="T11" s="300">
        <f t="shared" si="13"/>
        <v>16.780537253475742</v>
      </c>
      <c r="U11" s="301">
        <f t="shared" si="5"/>
        <v>7.0802271217887629</v>
      </c>
      <c r="V11" s="301">
        <f t="shared" si="6"/>
        <v>20.320650814370126</v>
      </c>
      <c r="W11" s="302">
        <f t="shared" si="7"/>
        <v>0.348425214648236</v>
      </c>
      <c r="X11" s="303">
        <f t="shared" si="8"/>
        <v>9.5278471221323605E-3</v>
      </c>
      <c r="Y11" s="304">
        <f t="shared" si="9"/>
        <v>283.81717724494308</v>
      </c>
      <c r="Z11" s="292"/>
      <c r="AA11" s="305">
        <f t="shared" si="10"/>
        <v>9.5278471221323605E-3</v>
      </c>
      <c r="AB11" s="305">
        <f t="shared" si="11"/>
        <v>1.0480631834345597E-2</v>
      </c>
      <c r="AC11" s="305">
        <f t="shared" si="14"/>
        <v>8.5750624099191243E-3</v>
      </c>
      <c r="AD11" s="305"/>
      <c r="AE11" s="289"/>
      <c r="AF11" s="290"/>
      <c r="AG11" s="288"/>
      <c r="AH11" s="58"/>
      <c r="AI11" s="58"/>
      <c r="AJ11" s="58"/>
      <c r="AK11" s="58"/>
    </row>
    <row r="12" spans="2:37" ht="13.8" thickBot="1">
      <c r="B12" s="48" t="s">
        <v>133</v>
      </c>
      <c r="C12" s="14">
        <v>23.691296000000001</v>
      </c>
      <c r="D12" s="76">
        <f t="shared" si="0"/>
        <v>301.34280565195849</v>
      </c>
      <c r="E12" s="66">
        <f t="shared" si="1"/>
        <v>8.8738400000000013</v>
      </c>
      <c r="F12" s="66">
        <f t="shared" si="2"/>
        <v>28.128216000000002</v>
      </c>
      <c r="G12" s="67">
        <f t="shared" si="3"/>
        <v>0.31547823722627844</v>
      </c>
      <c r="H12" s="68">
        <f t="shared" si="4"/>
        <v>8.6268969301961079E-3</v>
      </c>
      <c r="I12" s="69">
        <f t="shared" si="15"/>
        <v>-3.194950144863006</v>
      </c>
      <c r="R12" s="292"/>
      <c r="S12" s="299">
        <f t="shared" si="12"/>
        <v>302.10174930943782</v>
      </c>
      <c r="T12" s="300">
        <f t="shared" si="13"/>
        <v>23.860764375264505</v>
      </c>
      <c r="U12" s="301">
        <f t="shared" si="5"/>
        <v>9.2897027862966048</v>
      </c>
      <c r="V12" s="301">
        <f t="shared" si="6"/>
        <v>28.50561576841281</v>
      </c>
      <c r="W12" s="302">
        <f t="shared" si="7"/>
        <v>0.32589026884276479</v>
      </c>
      <c r="X12" s="303">
        <f t="shared" si="8"/>
        <v>8.9116187049185416E-3</v>
      </c>
      <c r="Y12" s="304">
        <f t="shared" si="9"/>
        <v>320.38632137393256</v>
      </c>
      <c r="Z12" s="292"/>
      <c r="AA12" s="305">
        <f t="shared" si="10"/>
        <v>8.9116187049185416E-3</v>
      </c>
      <c r="AB12" s="305">
        <f t="shared" si="11"/>
        <v>9.8027805754103969E-3</v>
      </c>
      <c r="AC12" s="305">
        <f t="shared" si="14"/>
        <v>8.0204568344266879E-3</v>
      </c>
      <c r="AD12" s="305"/>
      <c r="AE12" s="289"/>
      <c r="AF12" s="290"/>
      <c r="AG12" s="288"/>
      <c r="AH12" s="58"/>
      <c r="AI12" s="58"/>
      <c r="AJ12" s="58"/>
      <c r="AK12" s="58"/>
    </row>
    <row r="13" spans="2:37" ht="13.8" thickBot="1">
      <c r="B13" s="48" t="s">
        <v>134</v>
      </c>
      <c r="C13" s="14">
        <v>32.565136000000003</v>
      </c>
      <c r="D13" s="76">
        <f t="shared" si="0"/>
        <v>336.62358533257179</v>
      </c>
      <c r="E13" s="66">
        <f t="shared" si="1"/>
        <v>11.751292999999997</v>
      </c>
      <c r="F13" s="66">
        <f t="shared" si="2"/>
        <v>38.440782499999997</v>
      </c>
      <c r="G13" s="67">
        <f t="shared" si="3"/>
        <v>0.30569858977246361</v>
      </c>
      <c r="H13" s="68">
        <f t="shared" si="4"/>
        <v>8.3594679901224968E-3</v>
      </c>
      <c r="I13" s="69">
        <f t="shared" si="15"/>
        <v>-0.84013427377961669</v>
      </c>
      <c r="R13" s="292"/>
      <c r="S13" s="299">
        <f t="shared" si="12"/>
        <v>338.6708934384273</v>
      </c>
      <c r="T13" s="300">
        <f t="shared" si="13"/>
        <v>33.15046716156111</v>
      </c>
      <c r="U13" s="301">
        <f t="shared" si="5"/>
        <v>12.082335338986496</v>
      </c>
      <c r="V13" s="301">
        <f t="shared" si="6"/>
        <v>39.191634831054358</v>
      </c>
      <c r="W13" s="302">
        <f t="shared" si="7"/>
        <v>0.30828862820013803</v>
      </c>
      <c r="X13" s="303">
        <f t="shared" si="8"/>
        <v>8.4302937775278183E-3</v>
      </c>
      <c r="Y13" s="304">
        <f t="shared" si="9"/>
        <v>356.95546550292204</v>
      </c>
      <c r="Z13" s="292"/>
      <c r="AA13" s="305">
        <f t="shared" si="10"/>
        <v>8.4302937775278183E-3</v>
      </c>
      <c r="AB13" s="305">
        <f t="shared" si="11"/>
        <v>9.2733231552806009E-3</v>
      </c>
      <c r="AC13" s="305">
        <f t="shared" si="14"/>
        <v>7.5872643997750367E-3</v>
      </c>
      <c r="AD13" s="305"/>
      <c r="AE13" s="289"/>
      <c r="AF13" s="290"/>
      <c r="AG13" s="288"/>
      <c r="AH13" s="58"/>
      <c r="AI13" s="58"/>
      <c r="AJ13" s="58"/>
      <c r="AK13" s="58"/>
    </row>
    <row r="14" spans="2:37" ht="13.8" thickBot="1">
      <c r="B14" s="48" t="s">
        <v>135</v>
      </c>
      <c r="C14" s="14">
        <v>44.316428999999999</v>
      </c>
      <c r="D14" s="76">
        <f t="shared" si="0"/>
        <v>372.75192890641574</v>
      </c>
      <c r="E14" s="66">
        <f t="shared" si="1"/>
        <v>15.236514999999997</v>
      </c>
      <c r="F14" s="66">
        <f t="shared" si="2"/>
        <v>51.934686499999998</v>
      </c>
      <c r="G14" s="67">
        <f t="shared" si="3"/>
        <v>0.29337839557383288</v>
      </c>
      <c r="H14" s="68">
        <f t="shared" si="4"/>
        <v>8.0225666353854527E-3</v>
      </c>
      <c r="I14" s="69">
        <f t="shared" si="15"/>
        <v>-0.31954762293675604</v>
      </c>
      <c r="R14" s="292"/>
      <c r="S14" s="299">
        <f t="shared" si="12"/>
        <v>375.24003756741678</v>
      </c>
      <c r="T14" s="300">
        <f t="shared" si="13"/>
        <v>45.232802500547606</v>
      </c>
      <c r="U14" s="301">
        <f t="shared" si="5"/>
        <v>15.610031509034229</v>
      </c>
      <c r="V14" s="301">
        <f t="shared" si="6"/>
        <v>53.037818255064721</v>
      </c>
      <c r="W14" s="302">
        <f t="shared" si="7"/>
        <v>0.29431888457334093</v>
      </c>
      <c r="X14" s="303">
        <f t="shared" si="8"/>
        <v>8.0482847379527624E-3</v>
      </c>
      <c r="Y14" s="304">
        <f t="shared" si="9"/>
        <v>393.52460963191152</v>
      </c>
      <c r="Z14" s="292"/>
      <c r="AA14" s="305">
        <f t="shared" si="10"/>
        <v>8.0482847379527624E-3</v>
      </c>
      <c r="AB14" s="305">
        <f t="shared" si="11"/>
        <v>8.8531132117480402E-3</v>
      </c>
      <c r="AC14" s="305">
        <f t="shared" si="14"/>
        <v>7.2434562641574864E-3</v>
      </c>
      <c r="AD14" s="305"/>
      <c r="AE14" s="289"/>
      <c r="AF14" s="290"/>
      <c r="AG14" s="288"/>
      <c r="AH14" s="58"/>
      <c r="AI14" s="58"/>
      <c r="AJ14" s="58"/>
      <c r="AK14" s="58"/>
    </row>
    <row r="15" spans="2:37" ht="13.8" thickBot="1">
      <c r="B15" s="48" t="s">
        <v>136</v>
      </c>
      <c r="C15" s="14">
        <v>59.552943999999997</v>
      </c>
      <c r="D15" s="76">
        <f t="shared" si="0"/>
        <v>409.08558296510506</v>
      </c>
      <c r="E15" s="66">
        <f t="shared" si="1"/>
        <v>19.823993999999999</v>
      </c>
      <c r="F15" s="66">
        <f t="shared" si="2"/>
        <v>69.464940999999996</v>
      </c>
      <c r="G15" s="67">
        <f t="shared" si="3"/>
        <v>0.28538128320011097</v>
      </c>
      <c r="H15" s="68">
        <f t="shared" si="4"/>
        <v>7.8038819337278515E-3</v>
      </c>
      <c r="I15" s="69">
        <f t="shared" si="15"/>
        <v>0.80806443299623953</v>
      </c>
      <c r="R15" s="292"/>
      <c r="S15" s="299">
        <f t="shared" si="12"/>
        <v>411.80918169640626</v>
      </c>
      <c r="T15" s="300">
        <f t="shared" si="13"/>
        <v>60.842834009581836</v>
      </c>
      <c r="U15" s="301">
        <f t="shared" si="5"/>
        <v>20.064255409020518</v>
      </c>
      <c r="V15" s="301">
        <f t="shared" si="6"/>
        <v>70.874961714092095</v>
      </c>
      <c r="W15" s="302">
        <f t="shared" si="7"/>
        <v>0.28309370366871234</v>
      </c>
      <c r="X15" s="303">
        <f t="shared" si="8"/>
        <v>7.7413270234097508E-3</v>
      </c>
      <c r="Y15" s="304">
        <f t="shared" si="9"/>
        <v>430.093753760901</v>
      </c>
      <c r="Z15" s="292"/>
      <c r="AA15" s="305">
        <f t="shared" si="10"/>
        <v>7.7413270234097508E-3</v>
      </c>
      <c r="AB15" s="305">
        <f t="shared" si="11"/>
        <v>8.5154597257507264E-3</v>
      </c>
      <c r="AC15" s="305">
        <f t="shared" si="14"/>
        <v>6.9671943210687761E-3</v>
      </c>
      <c r="AD15" s="305"/>
      <c r="AE15" s="289"/>
      <c r="AF15" s="290"/>
      <c r="AG15" s="288"/>
      <c r="AH15" s="58"/>
      <c r="AI15" s="58"/>
      <c r="AJ15" s="58"/>
      <c r="AK15" s="58"/>
    </row>
    <row r="16" spans="2:37" ht="13.8" thickBot="1">
      <c r="B16" s="48" t="s">
        <v>137</v>
      </c>
      <c r="C16" s="14">
        <v>79.376937999999996</v>
      </c>
      <c r="D16" s="76">
        <f t="shared" si="0"/>
        <v>445.86238387231259</v>
      </c>
      <c r="E16" s="66">
        <f t="shared" si="1"/>
        <v>25.358299000000002</v>
      </c>
      <c r="F16" s="66">
        <f t="shared" si="2"/>
        <v>92.05608749999999</v>
      </c>
      <c r="G16" s="67">
        <f t="shared" si="3"/>
        <v>0.27546574798760598</v>
      </c>
      <c r="H16" s="68">
        <f t="shared" si="4"/>
        <v>7.5327370806372194E-3</v>
      </c>
      <c r="I16" s="69">
        <f t="shared" si="15"/>
        <v>0.53918458394159807</v>
      </c>
      <c r="R16" s="292"/>
      <c r="S16" s="299">
        <f t="shared" si="12"/>
        <v>448.37832582539573</v>
      </c>
      <c r="T16" s="300">
        <f t="shared" si="13"/>
        <v>80.907089418602354</v>
      </c>
      <c r="U16" s="301">
        <f t="shared" si="5"/>
        <v>25.686511207033405</v>
      </c>
      <c r="V16" s="301">
        <f t="shared" si="6"/>
        <v>93.750345022119063</v>
      </c>
      <c r="W16" s="302">
        <f t="shared" si="7"/>
        <v>0.27398844453290316</v>
      </c>
      <c r="X16" s="303">
        <f t="shared" si="8"/>
        <v>7.4923395408563612E-3</v>
      </c>
      <c r="Y16" s="304">
        <f t="shared" si="9"/>
        <v>466.66289788989047</v>
      </c>
      <c r="Z16" s="292"/>
      <c r="AA16" s="305">
        <f t="shared" si="10"/>
        <v>7.4923395408563612E-3</v>
      </c>
      <c r="AB16" s="305">
        <f t="shared" si="11"/>
        <v>8.2415734949419974E-3</v>
      </c>
      <c r="AC16" s="305">
        <f t="shared" si="14"/>
        <v>6.743105586770725E-3</v>
      </c>
      <c r="AD16" s="305"/>
      <c r="AE16" s="289"/>
      <c r="AF16" s="290"/>
      <c r="AG16" s="288"/>
      <c r="AH16" s="58"/>
      <c r="AI16" s="58"/>
      <c r="AJ16" s="58"/>
      <c r="AK16" s="58"/>
    </row>
    <row r="17" spans="2:43" ht="13.8" thickBot="1">
      <c r="B17" s="48" t="s">
        <v>138</v>
      </c>
      <c r="C17" s="14">
        <v>104.735237</v>
      </c>
      <c r="D17" s="76">
        <f t="shared" si="0"/>
        <v>482.56721723201304</v>
      </c>
      <c r="E17" s="66">
        <f t="shared" si="1"/>
        <v>33.018837000000005</v>
      </c>
      <c r="F17" s="66">
        <f t="shared" si="2"/>
        <v>121.24465549999999</v>
      </c>
      <c r="G17" s="67">
        <f t="shared" si="3"/>
        <v>0.272332309113617</v>
      </c>
      <c r="H17" s="68">
        <f t="shared" si="4"/>
        <v>7.4470517590738694E-3</v>
      </c>
      <c r="I17" s="69">
        <f t="shared" si="15"/>
        <v>2.1687923682885768</v>
      </c>
      <c r="R17" s="292"/>
      <c r="S17" s="299">
        <f t="shared" si="12"/>
        <v>484.94746995438521</v>
      </c>
      <c r="T17" s="300">
        <f t="shared" si="13"/>
        <v>106.59360062563576</v>
      </c>
      <c r="U17" s="301">
        <f t="shared" si="5"/>
        <v>32.781668850177141</v>
      </c>
      <c r="V17" s="301">
        <f t="shared" si="6"/>
        <v>122.98443505072433</v>
      </c>
      <c r="W17" s="302">
        <f t="shared" si="7"/>
        <v>0.26655136348478975</v>
      </c>
      <c r="X17" s="303">
        <f t="shared" si="8"/>
        <v>7.2889691523703526E-3</v>
      </c>
      <c r="Y17" s="304">
        <f t="shared" si="9"/>
        <v>503.23204201887995</v>
      </c>
      <c r="Z17" s="292"/>
      <c r="AA17" s="305">
        <f t="shared" si="10"/>
        <v>7.2889691523703526E-3</v>
      </c>
      <c r="AB17" s="305">
        <f t="shared" si="11"/>
        <v>8.0178660676073887E-3</v>
      </c>
      <c r="AC17" s="305">
        <f t="shared" si="14"/>
        <v>6.5600722371333174E-3</v>
      </c>
      <c r="AD17" s="305"/>
      <c r="AE17" s="289"/>
      <c r="AF17" s="290"/>
      <c r="AG17" s="288"/>
      <c r="AH17" s="58"/>
      <c r="AI17" s="58"/>
      <c r="AJ17" s="58"/>
      <c r="AK17" s="58"/>
    </row>
    <row r="18" spans="2:43" ht="13.8" thickBot="1">
      <c r="B18" s="48" t="s">
        <v>139</v>
      </c>
      <c r="C18" s="14">
        <v>137.754074</v>
      </c>
      <c r="D18" s="76">
        <f t="shared" si="0"/>
        <v>519.90162129316627</v>
      </c>
      <c r="E18" s="66">
        <f t="shared" si="1"/>
        <v>42.07607999999999</v>
      </c>
      <c r="F18" s="66">
        <f t="shared" si="2"/>
        <v>158.792114</v>
      </c>
      <c r="G18" s="67">
        <f t="shared" si="3"/>
        <v>0.2649758790918294</v>
      </c>
      <c r="H18" s="68">
        <f t="shared" si="4"/>
        <v>7.2458868098522131E-3</v>
      </c>
      <c r="I18" s="69">
        <f t="shared" si="15"/>
        <v>1.7384519894961155</v>
      </c>
      <c r="R18" s="292"/>
      <c r="S18" s="299">
        <f t="shared" si="12"/>
        <v>521.51661408337475</v>
      </c>
      <c r="T18" s="300">
        <f t="shared" si="13"/>
        <v>139.3752694758129</v>
      </c>
      <c r="U18" s="301">
        <f t="shared" si="5"/>
        <v>41.734916116916992</v>
      </c>
      <c r="V18" s="301">
        <f t="shared" si="6"/>
        <v>160.24272753427141</v>
      </c>
      <c r="W18" s="302">
        <f t="shared" si="7"/>
        <v>0.26044811367798931</v>
      </c>
      <c r="X18" s="303">
        <f t="shared" si="8"/>
        <v>7.1220729902596782E-3</v>
      </c>
      <c r="Y18" s="304">
        <f t="shared" si="9"/>
        <v>539.80118614786943</v>
      </c>
      <c r="Z18" s="292"/>
      <c r="AA18" s="305">
        <f t="shared" si="10"/>
        <v>7.1220729902596782E-3</v>
      </c>
      <c r="AB18" s="305">
        <f t="shared" si="11"/>
        <v>7.8342802892856465E-3</v>
      </c>
      <c r="AC18" s="305">
        <f t="shared" si="14"/>
        <v>6.4098656912337107E-3</v>
      </c>
      <c r="AD18" s="305"/>
      <c r="AE18" s="289"/>
      <c r="AF18" s="290"/>
      <c r="AG18" s="288"/>
      <c r="AH18" s="58"/>
      <c r="AI18" s="58"/>
      <c r="AJ18" s="58"/>
      <c r="AK18" s="58"/>
    </row>
    <row r="19" spans="2:43" ht="13.8" thickBot="1">
      <c r="B19" s="48" t="s">
        <v>140</v>
      </c>
      <c r="C19" s="14">
        <v>179.83015399999999</v>
      </c>
      <c r="D19" s="76">
        <f t="shared" si="0"/>
        <v>557.09952808087814</v>
      </c>
      <c r="E19" s="66">
        <f t="shared" si="1"/>
        <v>53.497390999999993</v>
      </c>
      <c r="F19" s="66">
        <f t="shared" si="2"/>
        <v>206.57884949999999</v>
      </c>
      <c r="G19" s="67">
        <f t="shared" si="3"/>
        <v>0.25896838485393925</v>
      </c>
      <c r="H19" s="68">
        <f t="shared" si="4"/>
        <v>7.0816091276428598E-3</v>
      </c>
      <c r="I19" s="69">
        <f t="shared" si="15"/>
        <v>1.3867660366822994</v>
      </c>
      <c r="R19" s="292"/>
      <c r="S19" s="299">
        <f t="shared" si="12"/>
        <v>558.08575821236423</v>
      </c>
      <c r="T19" s="300">
        <f t="shared" si="13"/>
        <v>181.11018559272989</v>
      </c>
      <c r="U19" s="301">
        <f t="shared" si="5"/>
        <v>53.033343502907059</v>
      </c>
      <c r="V19" s="301">
        <f t="shared" si="6"/>
        <v>207.62685734418341</v>
      </c>
      <c r="W19" s="302">
        <f t="shared" si="7"/>
        <v>0.25542622077544425</v>
      </c>
      <c r="X19" s="303">
        <f t="shared" si="8"/>
        <v>6.9847470281088697E-3</v>
      </c>
      <c r="Y19" s="304">
        <f t="shared" si="9"/>
        <v>576.37033027685902</v>
      </c>
      <c r="Z19" s="292"/>
      <c r="AA19" s="305">
        <f t="shared" si="10"/>
        <v>6.9847470281088697E-3</v>
      </c>
      <c r="AB19" s="305">
        <f t="shared" si="11"/>
        <v>7.6832217309197575E-3</v>
      </c>
      <c r="AC19" s="305">
        <f t="shared" si="14"/>
        <v>6.2862723252979829E-3</v>
      </c>
      <c r="AD19" s="305"/>
      <c r="AE19" s="289"/>
      <c r="AF19" s="290"/>
      <c r="AG19" s="288"/>
      <c r="AH19" s="58"/>
      <c r="AI19" s="58"/>
      <c r="AJ19" s="58"/>
      <c r="AK19" s="58"/>
    </row>
    <row r="20" spans="2:43" ht="13.8" thickBot="1">
      <c r="B20" s="48" t="s">
        <v>141</v>
      </c>
      <c r="C20" s="14">
        <v>233.32754499999999</v>
      </c>
      <c r="D20" s="76">
        <f t="shared" si="0"/>
        <v>594.17749460517655</v>
      </c>
      <c r="E20" s="66">
        <f t="shared" si="1"/>
        <v>67.262454999999989</v>
      </c>
      <c r="F20" s="66">
        <f t="shared" si="2"/>
        <v>266.95877250000001</v>
      </c>
      <c r="G20" s="67">
        <f t="shared" si="3"/>
        <v>0.25195821201193147</v>
      </c>
      <c r="H20" s="68">
        <f t="shared" si="4"/>
        <v>6.8899127396365957E-3</v>
      </c>
      <c r="I20" s="69">
        <f t="shared" si="15"/>
        <v>0.26525471347623442</v>
      </c>
      <c r="R20" s="292"/>
      <c r="S20" s="299">
        <f t="shared" si="12"/>
        <v>594.6549023413537</v>
      </c>
      <c r="T20" s="300">
        <f t="shared" si="13"/>
        <v>234.14352909563695</v>
      </c>
      <c r="U20" s="301">
        <f t="shared" si="5"/>
        <v>67.293455210801994</v>
      </c>
      <c r="V20" s="301">
        <f t="shared" si="6"/>
        <v>267.79025670103795</v>
      </c>
      <c r="W20" s="302">
        <f t="shared" si="7"/>
        <v>0.25129164906820589</v>
      </c>
      <c r="X20" s="303">
        <f t="shared" si="8"/>
        <v>6.87168527056118E-3</v>
      </c>
      <c r="Y20" s="304">
        <f t="shared" si="9"/>
        <v>612.93947440584839</v>
      </c>
      <c r="Z20" s="292"/>
      <c r="AA20" s="305">
        <f t="shared" si="10"/>
        <v>6.87168527056118E-3</v>
      </c>
      <c r="AB20" s="305">
        <f t="shared" si="11"/>
        <v>7.5588537976172985E-3</v>
      </c>
      <c r="AC20" s="305">
        <f t="shared" si="14"/>
        <v>6.1845167435050624E-3</v>
      </c>
      <c r="AD20" s="305"/>
      <c r="AE20" s="289"/>
      <c r="AF20" s="290"/>
      <c r="AG20" s="288"/>
      <c r="AH20" s="58"/>
      <c r="AI20" s="58"/>
      <c r="AJ20" s="58"/>
      <c r="AK20" s="58"/>
    </row>
    <row r="21" spans="2:43" ht="13.8" thickBot="1">
      <c r="B21" s="48" t="s">
        <v>142</v>
      </c>
      <c r="C21" s="14">
        <v>300.58999999999997</v>
      </c>
      <c r="D21" s="76">
        <f t="shared" si="0"/>
        <v>630.84017310521904</v>
      </c>
      <c r="E21" s="66">
        <f t="shared" si="1"/>
        <v>86.090000000000032</v>
      </c>
      <c r="F21" s="66">
        <f t="shared" si="2"/>
        <v>343.63499999999999</v>
      </c>
      <c r="G21" s="67">
        <f t="shared" si="3"/>
        <v>0.25052744918299952</v>
      </c>
      <c r="H21" s="68">
        <f t="shared" si="4"/>
        <v>6.8507878745895697E-3</v>
      </c>
      <c r="I21" s="69">
        <f t="shared" si="15"/>
        <v>1.1180748447008211</v>
      </c>
      <c r="R21" s="292"/>
      <c r="S21" s="299">
        <f t="shared" si="12"/>
        <v>631.22404647034318</v>
      </c>
      <c r="T21" s="300">
        <f t="shared" si="13"/>
        <v>301.43698430643894</v>
      </c>
      <c r="U21" s="301">
        <f t="shared" si="5"/>
        <v>85.243015693561063</v>
      </c>
      <c r="V21" s="301">
        <f t="shared" si="6"/>
        <v>344.0584921532195</v>
      </c>
      <c r="W21" s="302">
        <f t="shared" si="7"/>
        <v>0.24775733672517464</v>
      </c>
      <c r="X21" s="303">
        <f t="shared" si="8"/>
        <v>6.7750378803306411E-3</v>
      </c>
      <c r="Y21" s="304">
        <f t="shared" si="9"/>
        <v>649.50861853483798</v>
      </c>
      <c r="Z21" s="292"/>
      <c r="AA21" s="305">
        <f t="shared" si="10"/>
        <v>6.7750378803306411E-3</v>
      </c>
      <c r="AB21" s="305">
        <f t="shared" si="11"/>
        <v>7.4525416683637056E-3</v>
      </c>
      <c r="AC21" s="305">
        <f t="shared" si="14"/>
        <v>6.0975340922975775E-3</v>
      </c>
      <c r="AD21" s="305"/>
      <c r="AE21" s="289"/>
      <c r="AF21" s="290"/>
      <c r="AG21" s="288"/>
      <c r="AH21" s="58"/>
      <c r="AI21" s="58"/>
      <c r="AJ21" s="58"/>
      <c r="AK21" s="58"/>
    </row>
    <row r="22" spans="2:43" ht="13.8" thickBot="1">
      <c r="B22" s="49" t="s">
        <v>143</v>
      </c>
      <c r="C22" s="14">
        <v>386.68</v>
      </c>
      <c r="D22" s="77">
        <f>71.498068+94.593053*LOG(C22)+41.912053*(LOG(C22))^2+9.8247004*(LOG(C22))^3+0.28175407*(LOG(C22))^4-1.1878455*(LOG(C22))^5-0.18014349*(LOG(C22))^6+0.14710899*(LOG(C22))^7-0.017046845*(LOG(C22))^8</f>
        <v>667.79319059933266</v>
      </c>
      <c r="E22" s="70"/>
      <c r="F22" s="70"/>
      <c r="G22" s="71"/>
      <c r="H22" s="79"/>
      <c r="I22" s="80"/>
      <c r="R22" s="292"/>
      <c r="S22" s="299">
        <f>D22</f>
        <v>667.79319059933266</v>
      </c>
      <c r="T22" s="300">
        <f>C22</f>
        <v>386.68</v>
      </c>
      <c r="U22" s="301"/>
      <c r="V22" s="306"/>
      <c r="W22" s="302"/>
      <c r="X22" s="306"/>
      <c r="Y22" s="307"/>
      <c r="Z22" s="292"/>
      <c r="AA22" s="295"/>
      <c r="AB22" s="301"/>
      <c r="AC22" s="308"/>
      <c r="AD22" s="301"/>
      <c r="AE22" s="287"/>
      <c r="AF22" s="290"/>
      <c r="AG22" s="288"/>
      <c r="AH22" s="58"/>
      <c r="AI22" s="58"/>
      <c r="AJ22" s="58"/>
      <c r="AK22" s="58"/>
    </row>
    <row r="23" spans="2:43">
      <c r="H23" s="50" t="s">
        <v>167</v>
      </c>
      <c r="I23" s="40">
        <f>IF(ABS(MAX(I5:I21))&lt;ABS(MIN(I5:I21)),MIN(I5:I21),MAX(I5:I21))</f>
        <v>-3.194950144863006</v>
      </c>
      <c r="R23" s="292"/>
      <c r="S23" s="292"/>
      <c r="T23" s="292"/>
      <c r="U23" s="292"/>
      <c r="V23" s="292"/>
      <c r="W23" s="292"/>
      <c r="X23" s="292"/>
      <c r="Y23" s="292"/>
      <c r="Z23" s="292"/>
      <c r="AA23" s="295"/>
      <c r="AB23" s="301"/>
      <c r="AC23" s="308"/>
      <c r="AD23" s="301"/>
      <c r="AE23" s="287"/>
      <c r="AF23" s="290"/>
      <c r="AG23" s="288"/>
      <c r="AH23" s="58"/>
      <c r="AI23" s="58"/>
      <c r="AJ23" s="58"/>
      <c r="AK23" s="58"/>
    </row>
    <row r="24" spans="2:43">
      <c r="C24" s="37"/>
      <c r="R24" s="292"/>
      <c r="S24" s="292"/>
      <c r="T24" s="292"/>
      <c r="U24" s="292"/>
      <c r="V24" s="292"/>
      <c r="W24" s="292"/>
      <c r="X24" s="292"/>
      <c r="Y24" s="292"/>
      <c r="Z24" s="292"/>
      <c r="AA24" s="295"/>
      <c r="AB24" s="301"/>
      <c r="AC24" s="308"/>
      <c r="AD24" s="301"/>
      <c r="AE24" s="287"/>
      <c r="AF24" s="290"/>
      <c r="AG24" s="285"/>
      <c r="AH24" s="58"/>
      <c r="AI24" s="58"/>
      <c r="AJ24" s="58"/>
      <c r="AK24" s="58"/>
    </row>
    <row r="25" spans="2:43" s="45" customFormat="1"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R25" s="285"/>
      <c r="S25" s="285"/>
      <c r="T25" s="285"/>
      <c r="U25" s="285"/>
      <c r="V25" s="285"/>
      <c r="W25" s="285"/>
      <c r="X25" s="285"/>
      <c r="Y25" s="285"/>
      <c r="Z25" s="285"/>
      <c r="AA25" s="285"/>
      <c r="AB25" s="285"/>
      <c r="AC25" s="285"/>
      <c r="AD25" s="285"/>
      <c r="AE25" s="285"/>
      <c r="AF25" s="285"/>
      <c r="AG25" s="285"/>
      <c r="AH25" s="51"/>
      <c r="AI25" s="51"/>
      <c r="AJ25" s="51"/>
      <c r="AK25" s="51"/>
    </row>
    <row r="26" spans="2:43" s="45" customFormat="1">
      <c r="B26" s="52"/>
      <c r="C26" s="52"/>
      <c r="D26" s="52"/>
      <c r="E26" s="52"/>
      <c r="F26" s="52"/>
      <c r="G26" s="52"/>
      <c r="H26" s="52"/>
      <c r="I26" s="53"/>
      <c r="J26" s="53"/>
      <c r="K26" s="53"/>
      <c r="L26" s="54"/>
      <c r="M26" s="51"/>
      <c r="N26" s="72"/>
      <c r="O26" s="51"/>
      <c r="P26" s="51"/>
      <c r="Q26" s="51"/>
      <c r="R26" s="285"/>
      <c r="S26" s="285"/>
      <c r="T26" s="285"/>
      <c r="U26" s="285"/>
      <c r="V26" s="285"/>
      <c r="W26" s="285"/>
      <c r="X26" s="285"/>
      <c r="Y26" s="285"/>
      <c r="Z26" s="285"/>
      <c r="AA26" s="284"/>
      <c r="AB26" s="284"/>
      <c r="AC26" s="284"/>
      <c r="AD26" s="284"/>
      <c r="AE26" s="284"/>
      <c r="AF26" s="284"/>
      <c r="AG26" s="284"/>
      <c r="AH26" s="53"/>
      <c r="AI26" s="53"/>
      <c r="AJ26" s="53"/>
      <c r="AK26" s="54"/>
    </row>
    <row r="27" spans="2:43" s="45" customFormat="1">
      <c r="B27" s="51"/>
      <c r="C27" s="55"/>
      <c r="D27" s="56"/>
      <c r="E27" s="55"/>
      <c r="F27" s="55"/>
      <c r="G27" s="57"/>
      <c r="H27" s="58"/>
      <c r="I27" s="58"/>
      <c r="J27" s="58"/>
      <c r="K27" s="58"/>
      <c r="L27" s="58"/>
      <c r="M27" s="72"/>
      <c r="N27" s="74"/>
      <c r="O27" s="51"/>
      <c r="P27" s="51"/>
      <c r="Q27" s="51"/>
      <c r="R27" s="285"/>
      <c r="S27" s="285"/>
      <c r="T27" s="285"/>
      <c r="U27" s="285"/>
      <c r="V27" s="285"/>
      <c r="W27" s="285"/>
      <c r="X27" s="285"/>
      <c r="Y27" s="285"/>
      <c r="Z27" s="285"/>
      <c r="AA27" s="285"/>
      <c r="AB27" s="287"/>
      <c r="AC27" s="291"/>
      <c r="AD27" s="287"/>
      <c r="AE27" s="287"/>
      <c r="AF27" s="290"/>
      <c r="AG27" s="288"/>
      <c r="AH27" s="58"/>
      <c r="AI27" s="58"/>
      <c r="AJ27" s="58"/>
      <c r="AK27" s="58"/>
      <c r="AM27" s="51"/>
      <c r="AN27" s="51"/>
      <c r="AO27" s="51"/>
      <c r="AP27" s="51"/>
      <c r="AQ27" s="51"/>
    </row>
    <row r="28" spans="2:43" s="45" customFormat="1">
      <c r="B28" s="51"/>
      <c r="C28" s="55"/>
      <c r="D28" s="56"/>
      <c r="E28" s="55"/>
      <c r="F28" s="55"/>
      <c r="G28" s="57"/>
      <c r="H28" s="58"/>
      <c r="I28" s="58"/>
      <c r="J28" s="58"/>
      <c r="K28" s="58"/>
      <c r="L28" s="58"/>
      <c r="M28" s="74"/>
      <c r="N28" s="72"/>
      <c r="O28" s="51"/>
      <c r="P28" s="51"/>
      <c r="Q28" s="51"/>
      <c r="R28" s="51"/>
      <c r="AB28" s="46"/>
      <c r="AC28" s="47"/>
      <c r="AD28" s="46"/>
      <c r="AE28" s="46"/>
      <c r="AF28" s="57"/>
      <c r="AG28" s="58"/>
      <c r="AH28" s="58"/>
      <c r="AI28" s="58"/>
      <c r="AJ28" s="58"/>
      <c r="AK28" s="58"/>
      <c r="AM28" s="51"/>
      <c r="AN28" s="51"/>
      <c r="AO28" s="51"/>
      <c r="AP28" s="51"/>
      <c r="AQ28" s="51"/>
    </row>
    <row r="29" spans="2:43" s="45" customFormat="1">
      <c r="B29" s="51"/>
      <c r="C29" s="55"/>
      <c r="D29" s="56"/>
      <c r="E29" s="55"/>
      <c r="F29" s="55"/>
      <c r="G29" s="57"/>
      <c r="H29" s="58"/>
      <c r="I29" s="58"/>
      <c r="J29" s="58"/>
      <c r="K29" s="58"/>
      <c r="L29" s="58"/>
      <c r="M29" s="73"/>
      <c r="N29" s="72"/>
      <c r="O29" s="51"/>
      <c r="P29" s="51"/>
      <c r="Q29" s="51"/>
      <c r="R29" s="51"/>
      <c r="AB29" s="46"/>
      <c r="AC29" s="47"/>
      <c r="AD29" s="46"/>
      <c r="AE29" s="46"/>
      <c r="AF29" s="57"/>
      <c r="AG29" s="58"/>
      <c r="AH29" s="58"/>
      <c r="AI29" s="58"/>
      <c r="AJ29" s="58"/>
      <c r="AK29" s="58"/>
      <c r="AM29" s="51"/>
      <c r="AN29" s="51"/>
      <c r="AO29" s="51"/>
      <c r="AP29" s="51"/>
      <c r="AQ29" s="51"/>
    </row>
    <row r="30" spans="2:43" s="45" customFormat="1">
      <c r="B30" s="51"/>
      <c r="C30" s="55"/>
      <c r="D30" s="56"/>
      <c r="E30" s="55"/>
      <c r="F30" s="55"/>
      <c r="G30" s="57"/>
      <c r="H30" s="58"/>
      <c r="I30" s="58"/>
      <c r="J30" s="58"/>
      <c r="K30" s="58"/>
      <c r="L30" s="58"/>
      <c r="M30" s="73"/>
      <c r="N30" s="72"/>
      <c r="O30" s="51"/>
      <c r="P30" s="51"/>
      <c r="Q30" s="51"/>
      <c r="R30" s="51"/>
      <c r="AB30" s="46"/>
      <c r="AC30" s="47"/>
      <c r="AD30" s="46"/>
      <c r="AE30" s="46"/>
      <c r="AF30" s="57"/>
      <c r="AG30" s="58"/>
      <c r="AH30" s="58"/>
      <c r="AI30" s="58"/>
      <c r="AJ30" s="58"/>
      <c r="AK30" s="58"/>
      <c r="AM30" s="51"/>
      <c r="AN30" s="51"/>
      <c r="AO30" s="51"/>
      <c r="AP30" s="51"/>
      <c r="AQ30" s="51"/>
    </row>
    <row r="31" spans="2:43" s="45" customFormat="1">
      <c r="B31" s="51"/>
      <c r="C31" s="55"/>
      <c r="D31" s="56"/>
      <c r="E31" s="55"/>
      <c r="F31" s="55"/>
      <c r="G31" s="57"/>
      <c r="H31" s="58"/>
      <c r="I31" s="58"/>
      <c r="J31" s="58"/>
      <c r="K31" s="58"/>
      <c r="L31" s="58"/>
      <c r="M31" s="73"/>
      <c r="N31" s="72"/>
      <c r="O31" s="51"/>
      <c r="P31" s="51"/>
      <c r="Q31" s="51"/>
      <c r="R31" s="51"/>
      <c r="AB31" s="46"/>
      <c r="AC31" s="47"/>
      <c r="AD31" s="46"/>
      <c r="AE31" s="46"/>
      <c r="AF31" s="57"/>
      <c r="AG31" s="58"/>
      <c r="AH31" s="58"/>
      <c r="AI31" s="58"/>
      <c r="AJ31" s="58"/>
      <c r="AK31" s="58"/>
      <c r="AM31" s="51"/>
      <c r="AN31" s="51"/>
      <c r="AO31" s="51"/>
      <c r="AP31" s="51"/>
      <c r="AQ31" s="51"/>
    </row>
    <row r="32" spans="2:43" s="45" customFormat="1">
      <c r="B32" s="51"/>
      <c r="C32" s="55"/>
      <c r="D32" s="56"/>
      <c r="E32" s="55"/>
      <c r="F32" s="55"/>
      <c r="G32" s="57"/>
      <c r="H32" s="58"/>
      <c r="I32" s="58"/>
      <c r="J32" s="58"/>
      <c r="K32" s="58"/>
      <c r="L32" s="58"/>
      <c r="M32" s="73"/>
      <c r="N32" s="72"/>
      <c r="O32" s="51"/>
      <c r="P32" s="51"/>
      <c r="Q32" s="51"/>
      <c r="R32" s="51"/>
      <c r="AB32" s="46"/>
      <c r="AC32" s="47"/>
      <c r="AD32" s="46"/>
      <c r="AE32" s="46"/>
      <c r="AF32" s="57"/>
      <c r="AG32" s="58"/>
      <c r="AH32" s="58"/>
      <c r="AI32" s="58"/>
      <c r="AJ32" s="58"/>
      <c r="AK32" s="58"/>
      <c r="AM32" s="51"/>
      <c r="AN32" s="51"/>
      <c r="AO32" s="51"/>
      <c r="AP32" s="51"/>
      <c r="AQ32" s="51"/>
    </row>
    <row r="33" spans="2:43" s="45" customFormat="1">
      <c r="B33" s="51"/>
      <c r="C33" s="55"/>
      <c r="D33" s="56"/>
      <c r="E33" s="55"/>
      <c r="F33" s="55"/>
      <c r="G33" s="57"/>
      <c r="H33" s="58"/>
      <c r="I33" s="58"/>
      <c r="J33" s="58"/>
      <c r="K33" s="58"/>
      <c r="L33" s="58"/>
      <c r="M33" s="73"/>
      <c r="N33" s="72"/>
      <c r="O33" s="51"/>
      <c r="P33" s="51"/>
      <c r="Q33" s="51"/>
      <c r="R33" s="51"/>
      <c r="AB33" s="46"/>
      <c r="AC33" s="47"/>
      <c r="AD33" s="46"/>
      <c r="AE33" s="46"/>
      <c r="AF33" s="57"/>
      <c r="AG33" s="58"/>
      <c r="AH33" s="58"/>
      <c r="AI33" s="58"/>
      <c r="AJ33" s="58"/>
      <c r="AK33" s="58"/>
      <c r="AM33" s="51"/>
      <c r="AN33" s="51"/>
      <c r="AO33" s="51"/>
      <c r="AP33" s="51"/>
      <c r="AQ33" s="51"/>
    </row>
    <row r="34" spans="2:43" s="45" customFormat="1">
      <c r="B34" s="51"/>
      <c r="C34" s="55"/>
      <c r="D34" s="56"/>
      <c r="E34" s="55"/>
      <c r="F34" s="55"/>
      <c r="G34" s="57"/>
      <c r="H34" s="58"/>
      <c r="I34" s="58"/>
      <c r="J34" s="58"/>
      <c r="K34" s="58"/>
      <c r="L34" s="58"/>
      <c r="M34" s="73"/>
      <c r="N34" s="72"/>
      <c r="O34" s="51"/>
      <c r="P34" s="51"/>
      <c r="Q34" s="51"/>
      <c r="R34" s="51"/>
      <c r="AB34" s="46"/>
      <c r="AC34" s="47"/>
      <c r="AD34" s="46"/>
      <c r="AE34" s="46"/>
      <c r="AF34" s="57"/>
      <c r="AG34" s="58"/>
      <c r="AH34" s="58"/>
      <c r="AI34" s="58"/>
      <c r="AJ34" s="58"/>
      <c r="AK34" s="58"/>
      <c r="AM34" s="51"/>
      <c r="AN34" s="51"/>
      <c r="AO34" s="51"/>
      <c r="AP34" s="51"/>
      <c r="AQ34" s="51"/>
    </row>
    <row r="35" spans="2:43" s="45" customFormat="1">
      <c r="B35" s="51"/>
      <c r="C35" s="55"/>
      <c r="D35" s="56"/>
      <c r="E35" s="55"/>
      <c r="F35" s="55"/>
      <c r="G35" s="57"/>
      <c r="H35" s="58"/>
      <c r="I35" s="58"/>
      <c r="J35" s="58"/>
      <c r="K35" s="58"/>
      <c r="L35" s="58"/>
      <c r="M35" s="73"/>
      <c r="N35" s="72"/>
      <c r="O35" s="51"/>
      <c r="P35" s="51"/>
      <c r="Q35" s="51"/>
      <c r="R35" s="51"/>
      <c r="AB35" s="46"/>
      <c r="AC35" s="47"/>
      <c r="AD35" s="46"/>
      <c r="AE35" s="46"/>
      <c r="AF35" s="57"/>
      <c r="AG35" s="58"/>
      <c r="AH35" s="58"/>
      <c r="AI35" s="58"/>
      <c r="AJ35" s="58"/>
      <c r="AK35" s="58"/>
      <c r="AM35" s="51"/>
      <c r="AN35" s="51"/>
      <c r="AO35" s="51"/>
      <c r="AP35" s="51"/>
      <c r="AQ35" s="51"/>
    </row>
    <row r="36" spans="2:43" s="45" customFormat="1">
      <c r="B36" s="51"/>
      <c r="C36" s="55"/>
      <c r="D36" s="56"/>
      <c r="E36" s="55"/>
      <c r="F36" s="55"/>
      <c r="G36" s="57"/>
      <c r="H36" s="58"/>
      <c r="I36" s="58"/>
      <c r="J36" s="58"/>
      <c r="K36" s="58"/>
      <c r="L36" s="58"/>
      <c r="M36" s="73"/>
      <c r="N36" s="72"/>
      <c r="O36" s="51"/>
      <c r="P36" s="51"/>
      <c r="Q36" s="51"/>
      <c r="R36" s="51"/>
      <c r="AB36" s="46"/>
      <c r="AC36" s="47"/>
      <c r="AD36" s="46"/>
      <c r="AE36" s="46"/>
      <c r="AF36" s="57"/>
      <c r="AG36" s="58"/>
      <c r="AH36" s="58"/>
      <c r="AI36" s="58"/>
      <c r="AJ36" s="58"/>
      <c r="AK36" s="58"/>
      <c r="AM36" s="51"/>
      <c r="AN36" s="51"/>
      <c r="AO36" s="51"/>
      <c r="AP36" s="51"/>
      <c r="AQ36" s="51"/>
    </row>
    <row r="37" spans="2:43" s="45" customFormat="1">
      <c r="B37" s="51"/>
      <c r="C37" s="55"/>
      <c r="D37" s="56"/>
      <c r="E37" s="55"/>
      <c r="F37" s="55"/>
      <c r="G37" s="57"/>
      <c r="H37" s="58"/>
      <c r="I37" s="58"/>
      <c r="J37" s="58"/>
      <c r="K37" s="58"/>
      <c r="L37" s="58"/>
      <c r="M37" s="73"/>
      <c r="N37" s="72"/>
      <c r="O37" s="51"/>
      <c r="P37" s="51"/>
      <c r="Q37" s="51"/>
      <c r="R37" s="51"/>
      <c r="AB37" s="46"/>
      <c r="AC37" s="47"/>
      <c r="AD37" s="46"/>
      <c r="AE37" s="46"/>
      <c r="AF37" s="57"/>
      <c r="AG37" s="58"/>
      <c r="AH37" s="58"/>
      <c r="AI37" s="58"/>
      <c r="AJ37" s="58"/>
      <c r="AK37" s="58"/>
      <c r="AM37" s="51"/>
      <c r="AN37" s="51"/>
      <c r="AO37" s="51"/>
      <c r="AP37" s="51"/>
      <c r="AQ37" s="51"/>
    </row>
    <row r="38" spans="2:43" s="45" customFormat="1">
      <c r="B38" s="51"/>
      <c r="C38" s="55"/>
      <c r="D38" s="56"/>
      <c r="E38" s="55"/>
      <c r="F38" s="55"/>
      <c r="G38" s="57"/>
      <c r="H38" s="58"/>
      <c r="I38" s="58"/>
      <c r="J38" s="58"/>
      <c r="K38" s="58"/>
      <c r="L38" s="58"/>
      <c r="M38" s="73"/>
      <c r="N38" s="72"/>
      <c r="O38" s="51"/>
      <c r="P38" s="51"/>
      <c r="Q38" s="51"/>
      <c r="R38" s="51"/>
      <c r="AB38" s="46"/>
      <c r="AC38" s="47"/>
      <c r="AD38" s="46"/>
      <c r="AE38" s="46"/>
      <c r="AF38" s="57"/>
      <c r="AG38" s="58"/>
      <c r="AH38" s="58"/>
      <c r="AI38" s="58"/>
      <c r="AJ38" s="58"/>
      <c r="AK38" s="58"/>
      <c r="AM38" s="51"/>
      <c r="AN38" s="51"/>
      <c r="AO38" s="51"/>
      <c r="AP38" s="51"/>
      <c r="AQ38" s="51"/>
    </row>
    <row r="39" spans="2:43" s="45" customFormat="1">
      <c r="B39" s="51"/>
      <c r="C39" s="55"/>
      <c r="D39" s="56"/>
      <c r="E39" s="55"/>
      <c r="F39" s="55"/>
      <c r="G39" s="57"/>
      <c r="H39" s="58"/>
      <c r="I39" s="58"/>
      <c r="J39" s="58"/>
      <c r="K39" s="58"/>
      <c r="L39" s="58"/>
      <c r="M39" s="73"/>
      <c r="N39" s="72"/>
      <c r="O39" s="51"/>
      <c r="P39" s="51"/>
      <c r="Q39" s="51"/>
      <c r="R39" s="51"/>
      <c r="AB39" s="46"/>
      <c r="AC39" s="47"/>
      <c r="AD39" s="46"/>
      <c r="AE39" s="46"/>
      <c r="AF39" s="57"/>
      <c r="AG39" s="58"/>
      <c r="AH39" s="58"/>
      <c r="AI39" s="58"/>
      <c r="AJ39" s="58"/>
      <c r="AK39" s="58"/>
      <c r="AM39" s="51"/>
      <c r="AN39" s="51"/>
      <c r="AO39" s="51"/>
      <c r="AP39" s="51"/>
      <c r="AQ39" s="51"/>
    </row>
    <row r="40" spans="2:43" s="45" customFormat="1">
      <c r="B40" s="51"/>
      <c r="C40" s="55"/>
      <c r="D40" s="56"/>
      <c r="E40" s="55"/>
      <c r="F40" s="55"/>
      <c r="G40" s="57"/>
      <c r="H40" s="58"/>
      <c r="I40" s="58"/>
      <c r="J40" s="58"/>
      <c r="K40" s="58"/>
      <c r="L40" s="58"/>
      <c r="M40" s="73"/>
      <c r="N40" s="72"/>
      <c r="O40" s="51"/>
      <c r="P40" s="51"/>
      <c r="Q40" s="51"/>
      <c r="R40" s="51"/>
      <c r="AB40" s="46"/>
      <c r="AC40" s="47"/>
      <c r="AD40" s="46"/>
      <c r="AE40" s="46"/>
      <c r="AF40" s="57"/>
      <c r="AG40" s="58"/>
      <c r="AH40" s="58"/>
      <c r="AI40" s="58"/>
      <c r="AJ40" s="58"/>
      <c r="AK40" s="58"/>
      <c r="AM40" s="51"/>
      <c r="AN40" s="51"/>
      <c r="AO40" s="51"/>
      <c r="AP40" s="51"/>
      <c r="AQ40" s="51"/>
    </row>
    <row r="41" spans="2:43" s="45" customFormat="1">
      <c r="B41" s="51"/>
      <c r="C41" s="55"/>
      <c r="D41" s="56"/>
      <c r="E41" s="55"/>
      <c r="F41" s="55"/>
      <c r="G41" s="57"/>
      <c r="H41" s="58"/>
      <c r="I41" s="58"/>
      <c r="J41" s="58"/>
      <c r="K41" s="58"/>
      <c r="L41" s="58"/>
      <c r="M41" s="73"/>
      <c r="N41" s="72"/>
      <c r="O41" s="51"/>
      <c r="P41" s="51"/>
      <c r="Q41" s="51"/>
      <c r="R41" s="51"/>
      <c r="AB41" s="46"/>
      <c r="AC41" s="47"/>
      <c r="AD41" s="46"/>
      <c r="AE41" s="46"/>
      <c r="AF41" s="57"/>
      <c r="AG41" s="58"/>
      <c r="AH41" s="58"/>
      <c r="AI41" s="58"/>
      <c r="AJ41" s="58"/>
      <c r="AK41" s="58"/>
      <c r="AM41" s="51"/>
      <c r="AN41" s="51"/>
      <c r="AO41" s="51"/>
      <c r="AP41" s="51"/>
      <c r="AQ41" s="51"/>
    </row>
    <row r="42" spans="2:43" s="45" customFormat="1">
      <c r="B42" s="51"/>
      <c r="C42" s="55"/>
      <c r="D42" s="56"/>
      <c r="E42" s="55"/>
      <c r="F42" s="55"/>
      <c r="G42" s="57"/>
      <c r="H42" s="58"/>
      <c r="I42" s="58"/>
      <c r="J42" s="58"/>
      <c r="K42" s="58"/>
      <c r="L42" s="58"/>
      <c r="M42" s="73"/>
      <c r="N42" s="72"/>
      <c r="O42" s="51"/>
      <c r="P42" s="51"/>
      <c r="Q42" s="51"/>
      <c r="R42" s="51"/>
      <c r="AB42" s="46"/>
      <c r="AC42" s="47"/>
      <c r="AD42" s="46"/>
      <c r="AE42" s="46"/>
      <c r="AF42" s="57"/>
      <c r="AG42" s="58"/>
      <c r="AH42" s="58"/>
      <c r="AI42" s="58"/>
      <c r="AJ42" s="58"/>
      <c r="AK42" s="58"/>
      <c r="AM42" s="51"/>
      <c r="AN42" s="51"/>
      <c r="AO42" s="51"/>
      <c r="AP42" s="51"/>
      <c r="AQ42" s="51"/>
    </row>
    <row r="43" spans="2:43" s="45" customFormat="1">
      <c r="B43" s="51"/>
      <c r="C43" s="55"/>
      <c r="D43" s="56"/>
      <c r="E43" s="55"/>
      <c r="F43" s="55"/>
      <c r="G43" s="57"/>
      <c r="H43" s="58"/>
      <c r="I43" s="58"/>
      <c r="J43" s="58"/>
      <c r="K43" s="58"/>
      <c r="L43" s="58"/>
      <c r="M43" s="73"/>
      <c r="N43" s="51"/>
      <c r="O43" s="51"/>
      <c r="P43" s="51"/>
      <c r="Q43" s="51"/>
      <c r="R43" s="51"/>
      <c r="AB43" s="46"/>
      <c r="AC43" s="47"/>
      <c r="AD43" s="46"/>
      <c r="AE43" s="46"/>
      <c r="AF43" s="57"/>
      <c r="AG43" s="58"/>
      <c r="AH43" s="58"/>
      <c r="AI43" s="58"/>
      <c r="AJ43" s="58"/>
      <c r="AK43" s="58"/>
      <c r="AM43" s="51"/>
      <c r="AN43" s="51"/>
      <c r="AO43" s="51"/>
      <c r="AP43" s="51"/>
      <c r="AQ43" s="51"/>
    </row>
    <row r="44" spans="2:43" s="45" customFormat="1">
      <c r="B44" s="51"/>
      <c r="C44" s="55"/>
      <c r="D44" s="56"/>
      <c r="E44" s="55"/>
      <c r="F44" s="55"/>
      <c r="G44" s="57"/>
      <c r="H44" s="51"/>
      <c r="I44" s="58"/>
      <c r="J44" s="58"/>
      <c r="K44" s="58"/>
      <c r="L44" s="58"/>
      <c r="M44" s="51"/>
      <c r="N44" s="51"/>
      <c r="AB44" s="46"/>
      <c r="AC44" s="47"/>
      <c r="AD44" s="46"/>
      <c r="AE44" s="46"/>
      <c r="AF44" s="57"/>
      <c r="AG44" s="51"/>
      <c r="AH44" s="58"/>
      <c r="AI44" s="58"/>
      <c r="AJ44" s="58"/>
      <c r="AK44" s="58"/>
      <c r="AM44" s="51"/>
      <c r="AN44" s="51"/>
      <c r="AO44" s="51"/>
      <c r="AP44" s="51"/>
      <c r="AQ44" s="51"/>
    </row>
    <row r="45" spans="2:43" s="45" customFormat="1"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</sheetData>
  <sheetProtection password="C97F" sheet="1" objects="1" scenarios="1"/>
  <mergeCells count="1">
    <mergeCell ref="J2:K2"/>
  </mergeCells>
  <phoneticPr fontId="2"/>
  <printOptions horizontalCentered="1"/>
  <pageMargins left="0.78740157480314965" right="0.78740157480314965" top="0.59055118110236227" bottom="0.59055118110236227" header="0.51181102362204722" footer="0.51181102362204722"/>
  <pageSetup paperSize="9" orientation="landscape" horizontalDpi="300" verticalDpi="300" copies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E12"/>
  <sheetViews>
    <sheetView workbookViewId="0">
      <selection activeCell="B7" sqref="B7:B8"/>
    </sheetView>
  </sheetViews>
  <sheetFormatPr defaultColWidth="9" defaultRowHeight="13.2"/>
  <cols>
    <col min="1" max="1" width="2.33203125" style="3" customWidth="1"/>
    <col min="2" max="2" width="17.44140625" style="3" customWidth="1"/>
    <col min="3" max="3" width="9" style="3"/>
    <col min="4" max="32" width="2.33203125" style="3" customWidth="1"/>
    <col min="33" max="16384" width="9" style="3"/>
  </cols>
  <sheetData>
    <row r="1" spans="2:31" ht="13.8" thickBot="1"/>
    <row r="2" spans="2:31" ht="13.8" thickBot="1">
      <c r="B2" s="2"/>
      <c r="Z2" s="203" t="s">
        <v>83</v>
      </c>
      <c r="AA2" s="204"/>
      <c r="AB2" s="204"/>
      <c r="AC2" s="204"/>
      <c r="AD2" s="204"/>
      <c r="AE2" s="205"/>
    </row>
    <row r="3" spans="2:31">
      <c r="B3" s="2" t="s">
        <v>172</v>
      </c>
    </row>
    <row r="4" spans="2:31">
      <c r="E4" s="2" t="s">
        <v>45</v>
      </c>
    </row>
    <row r="5" spans="2:31">
      <c r="B5" s="36" t="s">
        <v>1</v>
      </c>
      <c r="C5" s="39">
        <f>コントラスト応答!C22</f>
        <v>386.68</v>
      </c>
      <c r="D5" s="4"/>
      <c r="E5" s="83"/>
      <c r="F5" s="84"/>
      <c r="G5" s="84"/>
      <c r="H5" s="84"/>
      <c r="I5" s="84"/>
      <c r="J5" s="85"/>
      <c r="K5" s="4"/>
      <c r="L5" s="83"/>
      <c r="M5" s="84"/>
      <c r="N5" s="84"/>
      <c r="O5" s="84"/>
      <c r="P5" s="84"/>
      <c r="Q5" s="85"/>
      <c r="S5" s="83"/>
      <c r="T5" s="84"/>
      <c r="U5" s="84"/>
      <c r="V5" s="84"/>
      <c r="W5" s="84"/>
      <c r="X5" s="85"/>
      <c r="Z5" s="83"/>
      <c r="AA5" s="84"/>
      <c r="AB5" s="84"/>
      <c r="AC5" s="84"/>
      <c r="AD5" s="84"/>
      <c r="AE5" s="85"/>
    </row>
    <row r="6" spans="2:31">
      <c r="B6" s="36" t="s">
        <v>125</v>
      </c>
      <c r="C6" s="40">
        <f>((C7-C8)/C8)*100</f>
        <v>6.0308265232233351</v>
      </c>
      <c r="D6" s="4"/>
      <c r="E6" s="86"/>
      <c r="F6" s="226" t="s">
        <v>46</v>
      </c>
      <c r="G6" s="226"/>
      <c r="H6" s="226"/>
      <c r="I6" s="226"/>
      <c r="J6" s="87"/>
      <c r="K6" s="4"/>
      <c r="L6" s="86"/>
      <c r="M6" s="226" t="s">
        <v>39</v>
      </c>
      <c r="N6" s="226"/>
      <c r="O6" s="226"/>
      <c r="P6" s="226"/>
      <c r="Q6" s="87"/>
      <c r="S6" s="86"/>
      <c r="T6" s="226" t="s">
        <v>102</v>
      </c>
      <c r="U6" s="226"/>
      <c r="V6" s="226"/>
      <c r="W6" s="226"/>
      <c r="X6" s="87"/>
      <c r="Z6" s="86"/>
      <c r="AA6" s="226" t="s">
        <v>43</v>
      </c>
      <c r="AB6" s="226"/>
      <c r="AC6" s="226"/>
      <c r="AD6" s="226"/>
      <c r="AE6" s="87"/>
    </row>
    <row r="7" spans="2:31" ht="16.2" thickBot="1">
      <c r="B7" s="36" t="s">
        <v>170</v>
      </c>
      <c r="C7" s="39">
        <f>MAX(G8,N8,U8,AB8)</f>
        <v>410</v>
      </c>
      <c r="D7" s="4"/>
      <c r="E7" s="86"/>
      <c r="F7" s="88"/>
      <c r="G7" s="88"/>
      <c r="H7" s="88"/>
      <c r="I7" s="88"/>
      <c r="J7" s="87"/>
      <c r="K7" s="4"/>
      <c r="L7" s="86"/>
      <c r="M7" s="88"/>
      <c r="N7" s="88"/>
      <c r="O7" s="88"/>
      <c r="P7" s="88"/>
      <c r="Q7" s="87"/>
      <c r="S7" s="86"/>
      <c r="T7" s="88"/>
      <c r="U7" s="88"/>
      <c r="V7" s="88"/>
      <c r="W7" s="88"/>
      <c r="X7" s="87"/>
      <c r="Z7" s="86"/>
      <c r="AA7" s="88"/>
      <c r="AB7" s="88"/>
      <c r="AC7" s="88"/>
      <c r="AD7" s="88"/>
      <c r="AE7" s="87"/>
    </row>
    <row r="8" spans="2:31" ht="15.6">
      <c r="B8" s="36" t="s">
        <v>171</v>
      </c>
      <c r="C8" s="39">
        <f>MIN(G8,N8,U8,AB8)</f>
        <v>386.68</v>
      </c>
      <c r="D8" s="4"/>
      <c r="E8" s="86"/>
      <c r="F8" s="88"/>
      <c r="G8" s="218">
        <f>コントラスト応答!C22</f>
        <v>386.68</v>
      </c>
      <c r="H8" s="219"/>
      <c r="I8" s="88"/>
      <c r="J8" s="87"/>
      <c r="K8" s="4"/>
      <c r="L8" s="86"/>
      <c r="M8" s="88"/>
      <c r="N8" s="222">
        <v>410</v>
      </c>
      <c r="O8" s="223"/>
      <c r="P8" s="88"/>
      <c r="Q8" s="87"/>
      <c r="S8" s="86"/>
      <c r="T8" s="88"/>
      <c r="U8" s="222"/>
      <c r="V8" s="223"/>
      <c r="W8" s="88"/>
      <c r="X8" s="87"/>
      <c r="Z8" s="86"/>
      <c r="AA8" s="88"/>
      <c r="AB8" s="222"/>
      <c r="AC8" s="223"/>
      <c r="AD8" s="88"/>
      <c r="AE8" s="87"/>
    </row>
    <row r="9" spans="2:31" ht="13.8" thickBot="1">
      <c r="B9" s="36" t="s">
        <v>85</v>
      </c>
      <c r="C9" s="39">
        <f>コントラスト応答!C22/コントラスト応答!C5</f>
        <v>784.3598627147112</v>
      </c>
      <c r="D9" s="4"/>
      <c r="E9" s="86"/>
      <c r="F9" s="88"/>
      <c r="G9" s="220"/>
      <c r="H9" s="221"/>
      <c r="I9" s="88"/>
      <c r="J9" s="87"/>
      <c r="K9" s="4"/>
      <c r="L9" s="86"/>
      <c r="M9" s="88"/>
      <c r="N9" s="224"/>
      <c r="O9" s="225"/>
      <c r="P9" s="88"/>
      <c r="Q9" s="87"/>
      <c r="S9" s="86"/>
      <c r="T9" s="88"/>
      <c r="U9" s="224"/>
      <c r="V9" s="225"/>
      <c r="W9" s="88"/>
      <c r="X9" s="87"/>
      <c r="Z9" s="86"/>
      <c r="AA9" s="88"/>
      <c r="AB9" s="224"/>
      <c r="AC9" s="225"/>
      <c r="AD9" s="88"/>
      <c r="AE9" s="87"/>
    </row>
    <row r="10" spans="2:31">
      <c r="D10" s="4"/>
      <c r="E10" s="86"/>
      <c r="F10" s="88"/>
      <c r="G10" s="88"/>
      <c r="H10" s="88"/>
      <c r="I10" s="88"/>
      <c r="J10" s="87"/>
      <c r="K10" s="4"/>
      <c r="L10" s="86"/>
      <c r="M10" s="88"/>
      <c r="N10" s="88"/>
      <c r="O10" s="88"/>
      <c r="P10" s="88"/>
      <c r="Q10" s="87"/>
      <c r="S10" s="86"/>
      <c r="T10" s="88"/>
      <c r="U10" s="88"/>
      <c r="V10" s="88"/>
      <c r="W10" s="88"/>
      <c r="X10" s="87"/>
      <c r="Z10" s="86"/>
      <c r="AA10" s="88"/>
      <c r="AB10" s="88"/>
      <c r="AC10" s="88"/>
      <c r="AD10" s="88"/>
      <c r="AE10" s="87"/>
    </row>
    <row r="11" spans="2:31">
      <c r="D11" s="4"/>
      <c r="E11" s="86"/>
      <c r="F11" s="88"/>
      <c r="G11" s="88"/>
      <c r="H11" s="88"/>
      <c r="I11" s="88"/>
      <c r="J11" s="87"/>
      <c r="K11" s="4"/>
      <c r="L11" s="86"/>
      <c r="M11" s="88"/>
      <c r="N11" s="88"/>
      <c r="O11" s="88"/>
      <c r="P11" s="88"/>
      <c r="Q11" s="87"/>
      <c r="S11" s="86"/>
      <c r="T11" s="88"/>
      <c r="U11" s="88"/>
      <c r="V11" s="88"/>
      <c r="W11" s="88"/>
      <c r="X11" s="87"/>
      <c r="Z11" s="86"/>
      <c r="AA11" s="88"/>
      <c r="AB11" s="88"/>
      <c r="AC11" s="88"/>
      <c r="AD11" s="88"/>
      <c r="AE11" s="87"/>
    </row>
    <row r="12" spans="2:31">
      <c r="D12" s="4"/>
      <c r="E12" s="89"/>
      <c r="F12" s="90"/>
      <c r="G12" s="90"/>
      <c r="H12" s="90"/>
      <c r="I12" s="90"/>
      <c r="J12" s="91"/>
      <c r="K12" s="4"/>
      <c r="L12" s="89"/>
      <c r="M12" s="90"/>
      <c r="N12" s="90"/>
      <c r="O12" s="90"/>
      <c r="P12" s="90"/>
      <c r="Q12" s="91"/>
      <c r="S12" s="89"/>
      <c r="T12" s="90"/>
      <c r="U12" s="90"/>
      <c r="V12" s="90"/>
      <c r="W12" s="90"/>
      <c r="X12" s="91"/>
      <c r="Z12" s="89"/>
      <c r="AA12" s="90"/>
      <c r="AB12" s="90"/>
      <c r="AC12" s="90"/>
      <c r="AD12" s="90"/>
      <c r="AE12" s="91"/>
    </row>
  </sheetData>
  <sheetProtection password="C97F" sheet="1" objects="1" scenarios="1"/>
  <mergeCells count="9">
    <mergeCell ref="Z2:AE2"/>
    <mergeCell ref="G8:H9"/>
    <mergeCell ref="N8:O9"/>
    <mergeCell ref="U8:V9"/>
    <mergeCell ref="AB8:AC9"/>
    <mergeCell ref="AA6:AD6"/>
    <mergeCell ref="T6:W6"/>
    <mergeCell ref="M6:P6"/>
    <mergeCell ref="F6:I6"/>
  </mergeCells>
  <phoneticPr fontId="2"/>
  <printOptions horizontalCentered="1"/>
  <pageMargins left="0.78740157480314965" right="0.78740157480314965" top="0.59055118110236227" bottom="0.59055118110236227" header="0.51181102362204722" footer="0.51181102362204722"/>
  <pageSetup paperSize="9" orientation="landscape" horizontalDpi="720" verticalDpi="72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I44"/>
  <sheetViews>
    <sheetView workbookViewId="0">
      <selection activeCell="BF18" sqref="BF18"/>
    </sheetView>
  </sheetViews>
  <sheetFormatPr defaultColWidth="9" defaultRowHeight="13.2"/>
  <cols>
    <col min="1" max="54" width="2.33203125" style="3" customWidth="1"/>
    <col min="55" max="55" width="13.44140625" style="3" bestFit="1" customWidth="1"/>
    <col min="56" max="16384" width="9" style="3"/>
  </cols>
  <sheetData>
    <row r="1" spans="2:57" ht="13.8" thickBot="1"/>
    <row r="2" spans="2:57" ht="13.8" thickBot="1">
      <c r="AV2" s="203" t="s">
        <v>83</v>
      </c>
      <c r="AW2" s="204"/>
      <c r="AX2" s="204"/>
      <c r="AY2" s="204"/>
      <c r="AZ2" s="204"/>
      <c r="BA2" s="205"/>
    </row>
    <row r="3" spans="2:57" ht="15.6">
      <c r="B3" s="2" t="s">
        <v>181</v>
      </c>
    </row>
    <row r="4" spans="2:57">
      <c r="B4" s="2"/>
      <c r="C4" s="2" t="s">
        <v>179</v>
      </c>
      <c r="D4" s="2"/>
      <c r="AA4" s="2" t="s">
        <v>45</v>
      </c>
    </row>
    <row r="5" spans="2:57">
      <c r="B5" s="5"/>
      <c r="C5" s="6"/>
      <c r="D5" s="6"/>
      <c r="E5" s="6"/>
      <c r="F5" s="6"/>
      <c r="G5" s="6"/>
      <c r="H5" s="7"/>
      <c r="I5" s="16"/>
      <c r="J5" s="201" t="s">
        <v>31</v>
      </c>
      <c r="K5" s="201"/>
      <c r="L5" s="201"/>
      <c r="M5" s="201"/>
      <c r="N5" s="201"/>
      <c r="O5" s="201"/>
      <c r="P5" s="201"/>
      <c r="Q5" s="16"/>
      <c r="R5" s="5"/>
      <c r="S5" s="6"/>
      <c r="T5" s="6"/>
      <c r="U5" s="6"/>
      <c r="V5" s="6"/>
      <c r="W5" s="6"/>
      <c r="X5" s="7"/>
      <c r="AA5" s="5"/>
      <c r="AB5" s="6"/>
      <c r="AC5" s="6"/>
      <c r="AD5" s="6"/>
      <c r="AE5" s="6"/>
      <c r="AF5" s="7"/>
      <c r="AH5" s="5"/>
      <c r="AI5" s="6"/>
      <c r="AJ5" s="6"/>
      <c r="AK5" s="6"/>
      <c r="AL5" s="6"/>
      <c r="AM5" s="7"/>
      <c r="AO5" s="5"/>
      <c r="AP5" s="6"/>
      <c r="AQ5" s="6"/>
      <c r="AR5" s="6"/>
      <c r="AS5" s="6"/>
      <c r="AT5" s="7"/>
      <c r="AV5" s="5"/>
      <c r="AW5" s="6"/>
      <c r="AX5" s="6"/>
      <c r="AY5" s="6"/>
      <c r="AZ5" s="6"/>
      <c r="BA5" s="7"/>
      <c r="BC5" s="17"/>
      <c r="BD5" s="17"/>
      <c r="BE5" s="17"/>
    </row>
    <row r="6" spans="2:57" ht="13.8" thickBot="1">
      <c r="B6" s="8"/>
      <c r="C6" s="10"/>
      <c r="D6" s="10"/>
      <c r="E6" s="10"/>
      <c r="F6" s="10"/>
      <c r="G6" s="10"/>
      <c r="H6" s="9"/>
      <c r="I6" s="16"/>
      <c r="J6" s="202" t="s">
        <v>32</v>
      </c>
      <c r="K6" s="202"/>
      <c r="L6" s="202"/>
      <c r="M6" s="202"/>
      <c r="N6" s="202"/>
      <c r="O6" s="202"/>
      <c r="P6" s="202"/>
      <c r="Q6" s="16"/>
      <c r="R6" s="8"/>
      <c r="S6" s="10"/>
      <c r="T6" s="10"/>
      <c r="U6" s="10"/>
      <c r="V6" s="10"/>
      <c r="W6" s="10"/>
      <c r="X6" s="9"/>
      <c r="AA6" s="8"/>
      <c r="AB6" s="227" t="s">
        <v>46</v>
      </c>
      <c r="AC6" s="227"/>
      <c r="AD6" s="227"/>
      <c r="AE6" s="227"/>
      <c r="AF6" s="9"/>
      <c r="AH6" s="8"/>
      <c r="AI6" s="227" t="s">
        <v>39</v>
      </c>
      <c r="AJ6" s="227"/>
      <c r="AK6" s="227"/>
      <c r="AL6" s="227"/>
      <c r="AM6" s="9"/>
      <c r="AO6" s="8"/>
      <c r="AP6" s="227" t="s">
        <v>40</v>
      </c>
      <c r="AQ6" s="227"/>
      <c r="AR6" s="227"/>
      <c r="AS6" s="227"/>
      <c r="AT6" s="9"/>
      <c r="AV6" s="8"/>
      <c r="AW6" s="227" t="s">
        <v>43</v>
      </c>
      <c r="AX6" s="227"/>
      <c r="AY6" s="227"/>
      <c r="AZ6" s="227"/>
      <c r="BA6" s="9"/>
      <c r="BC6" s="17"/>
      <c r="BD6" s="17"/>
      <c r="BE6" s="17"/>
    </row>
    <row r="7" spans="2:57" ht="13.8" thickBot="1">
      <c r="B7" s="8"/>
      <c r="C7" s="10" t="s">
        <v>37</v>
      </c>
      <c r="D7" s="236"/>
      <c r="E7" s="237"/>
      <c r="F7" s="237"/>
      <c r="G7" s="238"/>
      <c r="H7" s="18"/>
      <c r="I7" s="19"/>
      <c r="J7" s="19"/>
      <c r="K7" s="19"/>
      <c r="L7" s="19"/>
      <c r="M7" s="19"/>
      <c r="N7" s="19"/>
      <c r="O7" s="19"/>
      <c r="P7" s="19"/>
      <c r="Q7" s="19"/>
      <c r="R7" s="20"/>
      <c r="S7" s="21" t="s">
        <v>37</v>
      </c>
      <c r="T7" s="236"/>
      <c r="U7" s="237"/>
      <c r="V7" s="237"/>
      <c r="W7" s="238"/>
      <c r="X7" s="9"/>
      <c r="AA7" s="8"/>
      <c r="AB7" s="16"/>
      <c r="AC7" s="22"/>
      <c r="AD7" s="22"/>
      <c r="AE7" s="22"/>
      <c r="AF7" s="23"/>
      <c r="AH7" s="8"/>
      <c r="AI7" s="10"/>
      <c r="AJ7" s="10"/>
      <c r="AK7" s="10"/>
      <c r="AL7" s="10"/>
      <c r="AM7" s="9"/>
      <c r="AO7" s="8"/>
      <c r="AP7" s="10"/>
      <c r="AQ7" s="10"/>
      <c r="AR7" s="10"/>
      <c r="AS7" s="10"/>
      <c r="AT7" s="9"/>
      <c r="AV7" s="8"/>
      <c r="AW7" s="10"/>
      <c r="AX7" s="10"/>
      <c r="AY7" s="10"/>
      <c r="AZ7" s="10"/>
      <c r="BA7" s="9"/>
      <c r="BC7" s="17"/>
      <c r="BD7" s="17"/>
      <c r="BE7" s="17"/>
    </row>
    <row r="8" spans="2:57" ht="16.2" thickBot="1">
      <c r="B8" s="8"/>
      <c r="C8" s="10" t="s">
        <v>47</v>
      </c>
      <c r="D8" s="19"/>
      <c r="E8" s="246"/>
      <c r="F8" s="246"/>
      <c r="G8" s="246"/>
      <c r="H8" s="18"/>
      <c r="I8" s="19"/>
      <c r="J8" s="19"/>
      <c r="K8" s="19"/>
      <c r="L8" s="19"/>
      <c r="M8" s="19"/>
      <c r="N8" s="19"/>
      <c r="O8" s="19"/>
      <c r="P8" s="19"/>
      <c r="Q8" s="19"/>
      <c r="R8" s="20"/>
      <c r="S8" s="21" t="s">
        <v>48</v>
      </c>
      <c r="T8" s="19"/>
      <c r="U8" s="246"/>
      <c r="V8" s="246"/>
      <c r="W8" s="246"/>
      <c r="X8" s="9"/>
      <c r="AA8" s="8"/>
      <c r="AB8" s="24" t="s">
        <v>173</v>
      </c>
      <c r="AC8" s="231">
        <f>AD23</f>
        <v>0.19638177221319159</v>
      </c>
      <c r="AD8" s="232"/>
      <c r="AE8" s="233"/>
      <c r="AF8" s="18"/>
      <c r="AG8" s="25"/>
      <c r="AH8" s="20"/>
      <c r="AI8" s="24" t="s">
        <v>173</v>
      </c>
      <c r="AJ8" s="236">
        <v>0.2</v>
      </c>
      <c r="AK8" s="237"/>
      <c r="AL8" s="238"/>
      <c r="AM8" s="18"/>
      <c r="AN8" s="25"/>
      <c r="AO8" s="20"/>
      <c r="AP8" s="24" t="s">
        <v>173</v>
      </c>
      <c r="AQ8" s="236"/>
      <c r="AR8" s="237"/>
      <c r="AS8" s="238"/>
      <c r="AT8" s="18"/>
      <c r="AU8" s="25"/>
      <c r="AV8" s="20"/>
      <c r="AW8" s="24" t="s">
        <v>173</v>
      </c>
      <c r="AX8" s="236"/>
      <c r="AY8" s="237"/>
      <c r="AZ8" s="238"/>
      <c r="BA8" s="9"/>
      <c r="BC8" s="17"/>
      <c r="BD8" s="17"/>
      <c r="BE8" s="17"/>
    </row>
    <row r="9" spans="2:57" ht="16.2" thickBot="1">
      <c r="B9" s="8"/>
      <c r="C9" s="10" t="s">
        <v>38</v>
      </c>
      <c r="D9" s="236"/>
      <c r="E9" s="237"/>
      <c r="F9" s="237"/>
      <c r="G9" s="238"/>
      <c r="H9" s="18"/>
      <c r="I9" s="19"/>
      <c r="J9" s="19"/>
      <c r="K9" s="19"/>
      <c r="L9" s="19"/>
      <c r="M9" s="19"/>
      <c r="N9" s="19"/>
      <c r="O9" s="19"/>
      <c r="P9" s="19"/>
      <c r="Q9" s="19"/>
      <c r="R9" s="20"/>
      <c r="S9" s="21" t="s">
        <v>38</v>
      </c>
      <c r="T9" s="236"/>
      <c r="U9" s="237"/>
      <c r="V9" s="237"/>
      <c r="W9" s="238"/>
      <c r="X9" s="9"/>
      <c r="AA9" s="8"/>
      <c r="AB9" s="24" t="s">
        <v>174</v>
      </c>
      <c r="AC9" s="231">
        <f>AG23</f>
        <v>0.45409374806764047</v>
      </c>
      <c r="AD9" s="232"/>
      <c r="AE9" s="233"/>
      <c r="AF9" s="26"/>
      <c r="AG9" s="25"/>
      <c r="AH9" s="20"/>
      <c r="AI9" s="24" t="s">
        <v>174</v>
      </c>
      <c r="AJ9" s="236">
        <v>0.45</v>
      </c>
      <c r="AK9" s="237"/>
      <c r="AL9" s="238"/>
      <c r="AM9" s="18"/>
      <c r="AN9" s="25"/>
      <c r="AO9" s="20"/>
      <c r="AP9" s="24" t="s">
        <v>174</v>
      </c>
      <c r="AQ9" s="236"/>
      <c r="AR9" s="237"/>
      <c r="AS9" s="238"/>
      <c r="AT9" s="18"/>
      <c r="AU9" s="25"/>
      <c r="AV9" s="20"/>
      <c r="AW9" s="24" t="s">
        <v>174</v>
      </c>
      <c r="AX9" s="236"/>
      <c r="AY9" s="237"/>
      <c r="AZ9" s="238"/>
      <c r="BA9" s="9"/>
      <c r="BC9" s="17"/>
      <c r="BD9" s="17"/>
      <c r="BE9" s="17"/>
    </row>
    <row r="10" spans="2:57">
      <c r="B10" s="8"/>
      <c r="C10" s="10"/>
      <c r="D10" s="21"/>
      <c r="E10" s="21"/>
      <c r="F10" s="21"/>
      <c r="G10" s="21"/>
      <c r="H10" s="18"/>
      <c r="I10" s="19"/>
      <c r="J10" s="19"/>
      <c r="K10" s="19"/>
      <c r="L10" s="19"/>
      <c r="M10" s="19"/>
      <c r="N10" s="19"/>
      <c r="O10" s="19"/>
      <c r="P10" s="19"/>
      <c r="Q10" s="19"/>
      <c r="R10" s="20"/>
      <c r="S10" s="21"/>
      <c r="T10" s="21"/>
      <c r="U10" s="21"/>
      <c r="V10" s="21"/>
      <c r="W10" s="21"/>
      <c r="X10" s="9"/>
      <c r="AA10" s="8"/>
      <c r="AB10" s="10"/>
      <c r="AC10" s="10"/>
      <c r="AD10" s="10"/>
      <c r="AE10" s="10"/>
      <c r="AF10" s="9"/>
      <c r="AH10" s="8"/>
      <c r="AI10" s="10"/>
      <c r="AJ10" s="10"/>
      <c r="AK10" s="10"/>
      <c r="AL10" s="10"/>
      <c r="AM10" s="9"/>
      <c r="AO10" s="8"/>
      <c r="AP10" s="10"/>
      <c r="AQ10" s="10"/>
      <c r="AR10" s="10"/>
      <c r="AS10" s="10"/>
      <c r="AT10" s="9"/>
      <c r="AV10" s="8"/>
      <c r="AW10" s="10"/>
      <c r="AX10" s="10"/>
      <c r="AY10" s="10"/>
      <c r="AZ10" s="10"/>
      <c r="BA10" s="9"/>
      <c r="BC10" s="17"/>
      <c r="BD10" s="17"/>
      <c r="BE10" s="17"/>
    </row>
    <row r="11" spans="2:57">
      <c r="B11" s="11"/>
      <c r="C11" s="12"/>
      <c r="D11" s="27"/>
      <c r="E11" s="27"/>
      <c r="F11" s="27"/>
      <c r="G11" s="27"/>
      <c r="H11" s="28"/>
      <c r="I11" s="19"/>
      <c r="J11" s="29"/>
      <c r="K11" s="30"/>
      <c r="L11" s="30"/>
      <c r="M11" s="30"/>
      <c r="N11" s="30"/>
      <c r="O11" s="30"/>
      <c r="P11" s="31"/>
      <c r="Q11" s="19"/>
      <c r="R11" s="32"/>
      <c r="S11" s="27"/>
      <c r="T11" s="27"/>
      <c r="U11" s="27"/>
      <c r="V11" s="27"/>
      <c r="W11" s="27"/>
      <c r="X11" s="13"/>
      <c r="AA11" s="8"/>
      <c r="AB11" s="10"/>
      <c r="AC11" s="10"/>
      <c r="AD11" s="10"/>
      <c r="AE11" s="10"/>
      <c r="AF11" s="9"/>
      <c r="AH11" s="8"/>
      <c r="AI11" s="10"/>
      <c r="AJ11" s="10"/>
      <c r="AK11" s="10"/>
      <c r="AL11" s="10"/>
      <c r="AM11" s="9"/>
      <c r="AO11" s="8"/>
      <c r="AP11" s="10"/>
      <c r="AQ11" s="10"/>
      <c r="AR11" s="10"/>
      <c r="AS11" s="10"/>
      <c r="AT11" s="9"/>
      <c r="AV11" s="8"/>
      <c r="AW11" s="10"/>
      <c r="AX11" s="10"/>
      <c r="AY11" s="10"/>
      <c r="AZ11" s="10"/>
      <c r="BA11" s="9"/>
      <c r="BC11" s="17"/>
      <c r="BD11" s="17"/>
      <c r="BE11" s="17"/>
    </row>
    <row r="12" spans="2:57" ht="13.8" thickBot="1">
      <c r="B12" s="16"/>
      <c r="C12" s="16"/>
      <c r="D12" s="19"/>
      <c r="E12" s="19"/>
      <c r="F12" s="19"/>
      <c r="G12" s="19"/>
      <c r="H12" s="19"/>
      <c r="I12" s="19"/>
      <c r="J12" s="20"/>
      <c r="K12" s="21"/>
      <c r="L12" s="21"/>
      <c r="M12" s="21"/>
      <c r="N12" s="21"/>
      <c r="O12" s="21"/>
      <c r="P12" s="18"/>
      <c r="Q12" s="19"/>
      <c r="R12" s="19"/>
      <c r="S12" s="19"/>
      <c r="T12" s="19"/>
      <c r="U12" s="19"/>
      <c r="V12" s="19"/>
      <c r="W12" s="19"/>
      <c r="X12" s="16"/>
      <c r="AA12" s="11"/>
      <c r="AB12" s="12"/>
      <c r="AC12" s="12"/>
      <c r="AD12" s="12"/>
      <c r="AE12" s="12"/>
      <c r="AF12" s="13"/>
      <c r="AH12" s="11"/>
      <c r="AI12" s="12"/>
      <c r="AJ12" s="12"/>
      <c r="AK12" s="12"/>
      <c r="AL12" s="12"/>
      <c r="AM12" s="13"/>
      <c r="AO12" s="11"/>
      <c r="AP12" s="12"/>
      <c r="AQ12" s="12"/>
      <c r="AR12" s="12"/>
      <c r="AS12" s="12"/>
      <c r="AT12" s="13"/>
      <c r="AV12" s="11"/>
      <c r="AW12" s="12"/>
      <c r="AX12" s="12"/>
      <c r="AY12" s="12"/>
      <c r="AZ12" s="12"/>
      <c r="BA12" s="13"/>
    </row>
    <row r="13" spans="2:57" ht="13.8" thickBot="1">
      <c r="B13" s="16"/>
      <c r="C13" s="16"/>
      <c r="D13" s="19"/>
      <c r="E13" s="19"/>
      <c r="F13" s="19"/>
      <c r="G13" s="19"/>
      <c r="H13" s="19"/>
      <c r="I13" s="19"/>
      <c r="J13" s="20"/>
      <c r="K13" s="21" t="s">
        <v>37</v>
      </c>
      <c r="L13" s="236"/>
      <c r="M13" s="237"/>
      <c r="N13" s="237"/>
      <c r="O13" s="238"/>
      <c r="P13" s="18"/>
      <c r="Q13" s="19"/>
      <c r="R13" s="19"/>
      <c r="S13" s="19"/>
      <c r="T13" s="19"/>
      <c r="U13" s="19"/>
      <c r="V13" s="19"/>
      <c r="W13" s="19"/>
      <c r="X13" s="16"/>
    </row>
    <row r="14" spans="2:57" ht="13.8" thickBot="1">
      <c r="B14" s="16"/>
      <c r="C14" s="16"/>
      <c r="D14" s="19"/>
      <c r="E14" s="19"/>
      <c r="F14" s="19"/>
      <c r="G14" s="19"/>
      <c r="H14" s="19"/>
      <c r="I14" s="19"/>
      <c r="J14" s="20"/>
      <c r="K14" s="21" t="s">
        <v>49</v>
      </c>
      <c r="L14" s="19"/>
      <c r="M14" s="246"/>
      <c r="N14" s="246"/>
      <c r="O14" s="246"/>
      <c r="P14" s="18"/>
      <c r="Q14" s="19"/>
      <c r="R14" s="19"/>
      <c r="S14" s="19"/>
      <c r="T14" s="19"/>
      <c r="U14" s="19"/>
      <c r="V14" s="19"/>
      <c r="W14" s="19"/>
      <c r="X14" s="16"/>
    </row>
    <row r="15" spans="2:57" ht="13.8" thickBot="1">
      <c r="B15" s="16"/>
      <c r="C15" s="16"/>
      <c r="D15" s="19"/>
      <c r="E15" s="19"/>
      <c r="F15" s="19"/>
      <c r="G15" s="19"/>
      <c r="H15" s="19"/>
      <c r="I15" s="19"/>
      <c r="J15" s="20"/>
      <c r="K15" s="21" t="s">
        <v>38</v>
      </c>
      <c r="L15" s="236"/>
      <c r="M15" s="237"/>
      <c r="N15" s="237"/>
      <c r="O15" s="238"/>
      <c r="P15" s="18"/>
      <c r="Q15" s="19"/>
      <c r="R15" s="19"/>
      <c r="S15" s="19"/>
      <c r="T15" s="19"/>
      <c r="U15" s="19"/>
      <c r="V15" s="19"/>
      <c r="W15" s="19"/>
      <c r="X15" s="16"/>
      <c r="AM15" s="17"/>
    </row>
    <row r="16" spans="2:57">
      <c r="B16" s="16"/>
      <c r="C16" s="16"/>
      <c r="D16" s="19"/>
      <c r="E16" s="19"/>
      <c r="F16" s="19"/>
      <c r="G16" s="19"/>
      <c r="H16" s="19"/>
      <c r="I16" s="19"/>
      <c r="J16" s="20"/>
      <c r="K16" s="21"/>
      <c r="L16" s="21"/>
      <c r="M16" s="21"/>
      <c r="N16" s="21"/>
      <c r="O16" s="21"/>
      <c r="P16" s="18"/>
      <c r="Q16" s="19"/>
      <c r="R16" s="19"/>
      <c r="S16" s="19"/>
      <c r="T16" s="19"/>
      <c r="U16" s="19"/>
      <c r="V16" s="19"/>
      <c r="W16" s="19"/>
      <c r="X16" s="16"/>
      <c r="AM16" s="17"/>
    </row>
    <row r="17" spans="2:61" ht="13.5" customHeight="1">
      <c r="B17" s="5"/>
      <c r="C17" s="6"/>
      <c r="D17" s="30"/>
      <c r="E17" s="30"/>
      <c r="F17" s="30"/>
      <c r="G17" s="30"/>
      <c r="H17" s="31"/>
      <c r="I17" s="19"/>
      <c r="J17" s="32"/>
      <c r="K17" s="27"/>
      <c r="L17" s="27"/>
      <c r="M17" s="27"/>
      <c r="N17" s="27"/>
      <c r="O17" s="27"/>
      <c r="P17" s="28"/>
      <c r="Q17" s="19"/>
      <c r="R17" s="29"/>
      <c r="S17" s="30"/>
      <c r="T17" s="30"/>
      <c r="U17" s="30"/>
      <c r="V17" s="30"/>
      <c r="W17" s="30"/>
      <c r="X17" s="7"/>
      <c r="AA17" s="234"/>
      <c r="AB17" s="234"/>
      <c r="AC17" s="234"/>
      <c r="AD17" s="234" t="s">
        <v>57</v>
      </c>
      <c r="AE17" s="234"/>
      <c r="AF17" s="234"/>
      <c r="AG17" s="239" t="s">
        <v>58</v>
      </c>
      <c r="AH17" s="240"/>
      <c r="AI17" s="241"/>
      <c r="AM17" s="17"/>
    </row>
    <row r="18" spans="2:61" ht="13.5" customHeight="1" thickBot="1">
      <c r="B18" s="8"/>
      <c r="C18" s="10"/>
      <c r="D18" s="21"/>
      <c r="E18" s="21"/>
      <c r="F18" s="21"/>
      <c r="G18" s="21"/>
      <c r="H18" s="18"/>
      <c r="I18" s="19"/>
      <c r="J18" s="19"/>
      <c r="K18" s="19"/>
      <c r="L18" s="19"/>
      <c r="M18" s="19"/>
      <c r="N18" s="19"/>
      <c r="O18" s="19"/>
      <c r="P18" s="19"/>
      <c r="Q18" s="19"/>
      <c r="R18" s="20"/>
      <c r="S18" s="21"/>
      <c r="T18" s="21"/>
      <c r="U18" s="21"/>
      <c r="V18" s="21"/>
      <c r="W18" s="21"/>
      <c r="X18" s="9"/>
      <c r="AA18" s="235" t="s">
        <v>52</v>
      </c>
      <c r="AB18" s="235"/>
      <c r="AC18" s="235"/>
      <c r="AD18" s="245">
        <f>IF(LEN(D7)&lt;&gt;0,D7,(4*D28)/(-2*D28+12*D30+3))</f>
        <v>0.19602047803742625</v>
      </c>
      <c r="AE18" s="245"/>
      <c r="AF18" s="245"/>
      <c r="AG18" s="242">
        <f>IF(LEN(D9)&lt;&gt;0,D9,(9*D30)/(-2*D28+12*D30+3))</f>
        <v>0.45438327843496507</v>
      </c>
      <c r="AH18" s="243"/>
      <c r="AI18" s="244"/>
      <c r="AM18" s="17"/>
      <c r="BC18" s="17"/>
      <c r="BD18" s="17"/>
      <c r="BE18" s="17"/>
      <c r="BF18" s="17"/>
      <c r="BG18" s="17"/>
      <c r="BH18" s="17"/>
      <c r="BI18" s="17"/>
    </row>
    <row r="19" spans="2:61" ht="16.2" thickBot="1">
      <c r="B19" s="8"/>
      <c r="C19" s="10" t="s">
        <v>37</v>
      </c>
      <c r="D19" s="236"/>
      <c r="E19" s="237"/>
      <c r="F19" s="237"/>
      <c r="G19" s="238"/>
      <c r="H19" s="18"/>
      <c r="I19" s="19"/>
      <c r="J19" s="19"/>
      <c r="K19" s="19"/>
      <c r="L19" s="19"/>
      <c r="M19" s="19"/>
      <c r="N19" s="19"/>
      <c r="O19" s="19"/>
      <c r="P19" s="19"/>
      <c r="Q19" s="19"/>
      <c r="R19" s="20"/>
      <c r="S19" s="21" t="s">
        <v>37</v>
      </c>
      <c r="T19" s="236"/>
      <c r="U19" s="237"/>
      <c r="V19" s="237"/>
      <c r="W19" s="238"/>
      <c r="X19" s="9"/>
      <c r="AA19" s="228" t="s">
        <v>53</v>
      </c>
      <c r="AB19" s="229"/>
      <c r="AC19" s="230"/>
      <c r="AD19" s="247">
        <f>IF(LEN(T7)&lt;&gt;0,T7,(4*T28)/(-2*T28+12*T30+3))</f>
        <v>0.19639737678627683</v>
      </c>
      <c r="AE19" s="248"/>
      <c r="AF19" s="249"/>
      <c r="AG19" s="247">
        <f>IF(LEN(T9)&lt;&gt;0,T9,(9*T30)/(-2*T28+12*T30+3))</f>
        <v>0.45333387317051971</v>
      </c>
      <c r="AH19" s="248"/>
      <c r="AI19" s="249"/>
      <c r="AO19" s="234"/>
      <c r="AP19" s="234"/>
      <c r="AQ19" s="234"/>
      <c r="AR19" s="234" t="s">
        <v>175</v>
      </c>
      <c r="AS19" s="234"/>
      <c r="AT19" s="234"/>
      <c r="AU19" s="234" t="s">
        <v>176</v>
      </c>
      <c r="AV19" s="234"/>
      <c r="AW19" s="234"/>
      <c r="BC19" s="17"/>
      <c r="BD19" s="17"/>
      <c r="BE19" s="17"/>
      <c r="BF19" s="17"/>
      <c r="BG19" s="17"/>
      <c r="BH19" s="17"/>
      <c r="BI19" s="17"/>
    </row>
    <row r="20" spans="2:61" ht="13.5" customHeight="1" thickBot="1">
      <c r="B20" s="8"/>
      <c r="C20" s="10" t="s">
        <v>50</v>
      </c>
      <c r="D20" s="19"/>
      <c r="E20" s="246"/>
      <c r="F20" s="246"/>
      <c r="G20" s="246"/>
      <c r="H20" s="18"/>
      <c r="I20" s="19"/>
      <c r="J20" s="19"/>
      <c r="K20" s="19"/>
      <c r="L20" s="19"/>
      <c r="M20" s="19"/>
      <c r="N20" s="19"/>
      <c r="O20" s="19"/>
      <c r="P20" s="19"/>
      <c r="Q20" s="19"/>
      <c r="R20" s="20"/>
      <c r="S20" s="21" t="s">
        <v>51</v>
      </c>
      <c r="T20" s="19"/>
      <c r="U20" s="246"/>
      <c r="V20" s="246"/>
      <c r="W20" s="246"/>
      <c r="X20" s="9"/>
      <c r="AA20" s="228" t="s">
        <v>54</v>
      </c>
      <c r="AB20" s="229"/>
      <c r="AC20" s="230"/>
      <c r="AD20" s="247">
        <f>IF(LEN(L13)&lt;&gt;0,L13,(4*L34)/(-2*L34+12*L36+3))</f>
        <v>0.19585528035915825</v>
      </c>
      <c r="AE20" s="248"/>
      <c r="AF20" s="249"/>
      <c r="AG20" s="247">
        <f>IF(LEN(L15)&lt;&gt;0,L15,(9*L36)/(-2*L34+12*L36+3))</f>
        <v>0.45392109975785461</v>
      </c>
      <c r="AH20" s="248"/>
      <c r="AI20" s="249"/>
      <c r="AO20" s="235" t="s">
        <v>70</v>
      </c>
      <c r="AP20" s="235"/>
      <c r="AQ20" s="235"/>
      <c r="AR20" s="245">
        <f>AC8</f>
        <v>0.19638177221319159</v>
      </c>
      <c r="AS20" s="245"/>
      <c r="AT20" s="245"/>
      <c r="AU20" s="245">
        <f>AC9</f>
        <v>0.45409374806764047</v>
      </c>
      <c r="AV20" s="245"/>
      <c r="AW20" s="245"/>
      <c r="BC20" s="17"/>
      <c r="BD20" s="17"/>
      <c r="BE20" s="17"/>
      <c r="BF20" s="17"/>
      <c r="BG20" s="17"/>
      <c r="BH20" s="17"/>
      <c r="BI20" s="17"/>
    </row>
    <row r="21" spans="2:61" ht="13.8" thickBot="1">
      <c r="B21" s="8"/>
      <c r="C21" s="10" t="s">
        <v>38</v>
      </c>
      <c r="D21" s="236"/>
      <c r="E21" s="237"/>
      <c r="F21" s="237"/>
      <c r="G21" s="238"/>
      <c r="H21" s="18"/>
      <c r="I21" s="19"/>
      <c r="J21" s="19"/>
      <c r="K21" s="19"/>
      <c r="L21" s="19"/>
      <c r="M21" s="19"/>
      <c r="N21" s="19"/>
      <c r="O21" s="19"/>
      <c r="P21" s="19"/>
      <c r="Q21" s="19"/>
      <c r="R21" s="20"/>
      <c r="S21" s="21" t="s">
        <v>38</v>
      </c>
      <c r="T21" s="236"/>
      <c r="U21" s="237"/>
      <c r="V21" s="237"/>
      <c r="W21" s="238"/>
      <c r="X21" s="9"/>
      <c r="AA21" s="228" t="s">
        <v>55</v>
      </c>
      <c r="AB21" s="229"/>
      <c r="AC21" s="230"/>
      <c r="AD21" s="247">
        <f>IF(LEN(D19)&lt;&gt;0,D19,(4*D40)/(-2*D40+12*D42+3))</f>
        <v>0.19684384482811229</v>
      </c>
      <c r="AE21" s="248"/>
      <c r="AF21" s="249"/>
      <c r="AG21" s="247">
        <f>IF(LEN(D21)&lt;&gt;0,D21,(9*D42)/(-2*D40+12*D42+3))</f>
        <v>0.45471577772462729</v>
      </c>
      <c r="AH21" s="248"/>
      <c r="AI21" s="249"/>
      <c r="AO21" s="262" t="s">
        <v>71</v>
      </c>
      <c r="AP21" s="262"/>
      <c r="AQ21" s="262"/>
      <c r="AR21" s="245">
        <f>IF(AJ8=0,AC8,AJ8)</f>
        <v>0.2</v>
      </c>
      <c r="AS21" s="245"/>
      <c r="AT21" s="245"/>
      <c r="AU21" s="245">
        <f>IF(AJ9=0,AC9,AJ9)</f>
        <v>0.45</v>
      </c>
      <c r="AV21" s="245"/>
      <c r="AW21" s="245"/>
      <c r="BC21" s="17"/>
      <c r="BD21" s="17"/>
      <c r="BE21" s="17"/>
      <c r="BF21" s="17"/>
      <c r="BG21" s="17"/>
      <c r="BH21" s="17"/>
      <c r="BI21" s="17"/>
    </row>
    <row r="22" spans="2:61">
      <c r="B22" s="8"/>
      <c r="C22" s="10"/>
      <c r="D22" s="21"/>
      <c r="E22" s="21"/>
      <c r="F22" s="21"/>
      <c r="G22" s="21"/>
      <c r="H22" s="18"/>
      <c r="I22" s="19"/>
      <c r="J22" s="19"/>
      <c r="K22" s="19"/>
      <c r="L22" s="19"/>
      <c r="M22" s="19"/>
      <c r="N22" s="19"/>
      <c r="O22" s="19"/>
      <c r="P22" s="19"/>
      <c r="Q22" s="19"/>
      <c r="R22" s="20"/>
      <c r="S22" s="21"/>
      <c r="T22" s="21"/>
      <c r="U22" s="21"/>
      <c r="V22" s="21"/>
      <c r="W22" s="21"/>
      <c r="X22" s="9"/>
      <c r="AA22" s="277" t="s">
        <v>56</v>
      </c>
      <c r="AB22" s="278"/>
      <c r="AC22" s="279"/>
      <c r="AD22" s="280">
        <f>IF(LEN(T19)&lt;&gt;0,T19,(4*T40)/(-2*T40+12*T42+3))</f>
        <v>0.19679188105498438</v>
      </c>
      <c r="AE22" s="281"/>
      <c r="AF22" s="282"/>
      <c r="AG22" s="280">
        <f>IF(LEN(T21)&lt;&gt;0,T21,(9*T42)/(-2*T40+12*T42+3))</f>
        <v>0.45411471125023573</v>
      </c>
      <c r="AH22" s="281"/>
      <c r="AI22" s="282"/>
      <c r="AO22" s="262" t="s">
        <v>72</v>
      </c>
      <c r="AP22" s="262"/>
      <c r="AQ22" s="262"/>
      <c r="AR22" s="245">
        <f>IF(AQ8=0,AC8,AQ8)</f>
        <v>0.19638177221319159</v>
      </c>
      <c r="AS22" s="245"/>
      <c r="AT22" s="245"/>
      <c r="AU22" s="245">
        <f>IF(AQ9=0,AC9,AQ9)</f>
        <v>0.45409374806764047</v>
      </c>
      <c r="AV22" s="245"/>
      <c r="AW22" s="245"/>
      <c r="BC22" s="17"/>
      <c r="BD22" s="17"/>
      <c r="BE22" s="17"/>
      <c r="BF22" s="17"/>
      <c r="BG22" s="17"/>
      <c r="BH22" s="17"/>
      <c r="BI22" s="17"/>
    </row>
    <row r="23" spans="2:61">
      <c r="B23" s="11"/>
      <c r="C23" s="12"/>
      <c r="D23" s="27"/>
      <c r="E23" s="27"/>
      <c r="F23" s="27"/>
      <c r="G23" s="27"/>
      <c r="H23" s="28"/>
      <c r="I23" s="19"/>
      <c r="J23" s="19"/>
      <c r="K23" s="19"/>
      <c r="L23" s="19"/>
      <c r="M23" s="19"/>
      <c r="N23" s="19"/>
      <c r="O23" s="19"/>
      <c r="P23" s="19"/>
      <c r="Q23" s="19"/>
      <c r="R23" s="32"/>
      <c r="S23" s="27"/>
      <c r="T23" s="27"/>
      <c r="U23" s="27"/>
      <c r="V23" s="27"/>
      <c r="W23" s="27"/>
      <c r="X23" s="13"/>
      <c r="AA23" s="239" t="s">
        <v>44</v>
      </c>
      <c r="AB23" s="240"/>
      <c r="AC23" s="241"/>
      <c r="AD23" s="270">
        <f>AVERAGE(AD18:AF22)</f>
        <v>0.19638177221319159</v>
      </c>
      <c r="AE23" s="271"/>
      <c r="AF23" s="272"/>
      <c r="AG23" s="270">
        <f>AVERAGE(AG18:AI22)</f>
        <v>0.45409374806764047</v>
      </c>
      <c r="AH23" s="271"/>
      <c r="AI23" s="272"/>
      <c r="AO23" s="273" t="s">
        <v>73</v>
      </c>
      <c r="AP23" s="273"/>
      <c r="AQ23" s="273"/>
      <c r="AR23" s="261">
        <f>IF(AX8=0,AC8,AX8)</f>
        <v>0.19638177221319159</v>
      </c>
      <c r="AS23" s="261"/>
      <c r="AT23" s="261"/>
      <c r="AU23" s="261">
        <f>IF(AX9=0,AC9,AX9)</f>
        <v>0.45409374806764047</v>
      </c>
      <c r="AV23" s="261"/>
      <c r="AW23" s="261"/>
      <c r="BC23" s="17"/>
      <c r="BD23" s="17"/>
      <c r="BE23" s="17"/>
      <c r="BF23" s="17"/>
      <c r="BG23" s="17"/>
      <c r="BH23" s="17"/>
      <c r="BI23" s="17"/>
    </row>
    <row r="24" spans="2:61"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BC24" s="17"/>
      <c r="BD24" s="17"/>
      <c r="BE24" s="17"/>
      <c r="BF24" s="17"/>
      <c r="BG24" s="17"/>
      <c r="BH24" s="17"/>
      <c r="BI24" s="17"/>
    </row>
    <row r="25" spans="2:61">
      <c r="B25" s="2"/>
      <c r="C25" s="2" t="s">
        <v>180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AA25" s="3" t="s">
        <v>146</v>
      </c>
      <c r="AO25" s="3" t="s">
        <v>125</v>
      </c>
      <c r="BC25" s="17"/>
      <c r="BD25" s="17"/>
      <c r="BE25" s="17"/>
      <c r="BF25" s="17"/>
      <c r="BG25" s="17"/>
      <c r="BH25" s="17"/>
      <c r="BI25" s="17"/>
    </row>
    <row r="26" spans="2:61">
      <c r="B26" s="5"/>
      <c r="C26" s="6"/>
      <c r="D26" s="30"/>
      <c r="E26" s="30"/>
      <c r="F26" s="30"/>
      <c r="G26" s="30"/>
      <c r="H26" s="31"/>
      <c r="I26" s="19"/>
      <c r="J26" s="260" t="s">
        <v>31</v>
      </c>
      <c r="K26" s="260"/>
      <c r="L26" s="260"/>
      <c r="M26" s="260"/>
      <c r="N26" s="260"/>
      <c r="O26" s="260"/>
      <c r="P26" s="260"/>
      <c r="Q26" s="19"/>
      <c r="R26" s="29"/>
      <c r="S26" s="30"/>
      <c r="T26" s="30"/>
      <c r="U26" s="30"/>
      <c r="V26" s="30"/>
      <c r="W26" s="30"/>
      <c r="X26" s="7"/>
      <c r="AA26" s="33" t="s">
        <v>59</v>
      </c>
      <c r="AB26" s="33"/>
      <c r="AC26" s="33"/>
      <c r="AD26" s="274">
        <f>((AD$18-AD19)^2+(AG$18-AG19)^2)^0.5</f>
        <v>1.1150354594947926E-3</v>
      </c>
      <c r="AE26" s="275"/>
      <c r="AF26" s="275"/>
      <c r="AG26" s="275"/>
      <c r="AH26" s="275"/>
      <c r="AI26" s="276"/>
      <c r="AO26" s="33" t="s">
        <v>74</v>
      </c>
      <c r="AP26" s="33"/>
      <c r="AQ26" s="33"/>
      <c r="AR26" s="33"/>
      <c r="AS26" s="33"/>
      <c r="AT26" s="33"/>
      <c r="AU26" s="33"/>
      <c r="AV26" s="274">
        <f>((AR$20-AR21)^2+(AU$20-AU21)^2)^0.5</f>
        <v>5.4635469759619134E-3</v>
      </c>
      <c r="AW26" s="275"/>
      <c r="AX26" s="275"/>
      <c r="AY26" s="275"/>
      <c r="AZ26" s="275"/>
      <c r="BA26" s="276"/>
      <c r="BC26" s="17"/>
      <c r="BD26" s="17"/>
      <c r="BE26" s="17"/>
      <c r="BF26" s="17"/>
      <c r="BG26" s="17"/>
      <c r="BH26" s="17"/>
      <c r="BI26" s="17"/>
    </row>
    <row r="27" spans="2:61" ht="13.8" thickBot="1">
      <c r="B27" s="8"/>
      <c r="C27" s="10"/>
      <c r="D27" s="21"/>
      <c r="E27" s="21"/>
      <c r="F27" s="21"/>
      <c r="G27" s="21"/>
      <c r="H27" s="18"/>
      <c r="I27" s="19"/>
      <c r="J27" s="250" t="s">
        <v>32</v>
      </c>
      <c r="K27" s="250"/>
      <c r="L27" s="250"/>
      <c r="M27" s="250"/>
      <c r="N27" s="250"/>
      <c r="O27" s="250"/>
      <c r="P27" s="250"/>
      <c r="Q27" s="19"/>
      <c r="R27" s="20"/>
      <c r="S27" s="21"/>
      <c r="T27" s="21"/>
      <c r="U27" s="21"/>
      <c r="V27" s="21"/>
      <c r="W27" s="21"/>
      <c r="X27" s="9"/>
      <c r="AA27" s="34" t="s">
        <v>60</v>
      </c>
      <c r="AB27" s="34"/>
      <c r="AC27" s="34"/>
      <c r="AD27" s="251">
        <f>((AD$18-AD20)^2+(AG$18-AG20)^2)^0.5</f>
        <v>4.9081503897161936E-4</v>
      </c>
      <c r="AE27" s="252"/>
      <c r="AF27" s="252"/>
      <c r="AG27" s="252"/>
      <c r="AH27" s="252"/>
      <c r="AI27" s="253"/>
      <c r="AO27" s="34" t="s">
        <v>75</v>
      </c>
      <c r="AP27" s="34"/>
      <c r="AQ27" s="34"/>
      <c r="AR27" s="34"/>
      <c r="AS27" s="34"/>
      <c r="AT27" s="34"/>
      <c r="AU27" s="34"/>
      <c r="AV27" s="251">
        <f>((AR$20-AR22)^2+(AU$20-AU22)^2)^0.5</f>
        <v>0</v>
      </c>
      <c r="AW27" s="252"/>
      <c r="AX27" s="252"/>
      <c r="AY27" s="252"/>
      <c r="AZ27" s="252"/>
      <c r="BA27" s="253"/>
      <c r="BC27" s="17"/>
      <c r="BD27" s="17"/>
      <c r="BE27" s="17"/>
      <c r="BF27" s="17"/>
      <c r="BG27" s="17"/>
      <c r="BH27" s="17"/>
      <c r="BI27" s="17"/>
    </row>
    <row r="28" spans="2:61" ht="13.8" thickBot="1">
      <c r="B28" s="8"/>
      <c r="C28" s="10" t="s">
        <v>36</v>
      </c>
      <c r="D28" s="236">
        <v>0.298711</v>
      </c>
      <c r="E28" s="237"/>
      <c r="F28" s="237"/>
      <c r="G28" s="238"/>
      <c r="H28" s="18"/>
      <c r="I28" s="19"/>
      <c r="J28" s="19"/>
      <c r="K28" s="19"/>
      <c r="L28" s="19"/>
      <c r="M28" s="19"/>
      <c r="N28" s="19"/>
      <c r="O28" s="19"/>
      <c r="P28" s="19"/>
      <c r="Q28" s="19"/>
      <c r="R28" s="20"/>
      <c r="S28" s="21" t="s">
        <v>42</v>
      </c>
      <c r="T28" s="236">
        <v>0.298323</v>
      </c>
      <c r="U28" s="237"/>
      <c r="V28" s="237"/>
      <c r="W28" s="238"/>
      <c r="X28" s="9"/>
      <c r="AA28" s="34" t="s">
        <v>61</v>
      </c>
      <c r="AB28" s="34"/>
      <c r="AC28" s="34"/>
      <c r="AD28" s="251">
        <f>((AD$18-AD21)^2+(AG$18-AG21)^2)^0.5</f>
        <v>8.8796883370448722E-4</v>
      </c>
      <c r="AE28" s="252"/>
      <c r="AF28" s="252"/>
      <c r="AG28" s="252"/>
      <c r="AH28" s="252"/>
      <c r="AI28" s="253"/>
      <c r="AO28" s="34" t="s">
        <v>76</v>
      </c>
      <c r="AP28" s="34"/>
      <c r="AQ28" s="34"/>
      <c r="AR28" s="34"/>
      <c r="AS28" s="34"/>
      <c r="AT28" s="34"/>
      <c r="AU28" s="34"/>
      <c r="AV28" s="251">
        <f>((AR$20-AR23)^2+(AU$20-AU23)^2)^0.5</f>
        <v>0</v>
      </c>
      <c r="AW28" s="252"/>
      <c r="AX28" s="252"/>
      <c r="AY28" s="252"/>
      <c r="AZ28" s="252"/>
      <c r="BA28" s="253"/>
      <c r="BC28" s="17"/>
      <c r="BD28" s="17"/>
      <c r="BE28" s="17"/>
      <c r="BF28" s="17"/>
      <c r="BG28" s="17"/>
      <c r="BH28" s="17"/>
      <c r="BI28" s="17"/>
    </row>
    <row r="29" spans="2:61" ht="13.8" thickBot="1">
      <c r="B29" s="8"/>
      <c r="C29" s="10" t="s">
        <v>52</v>
      </c>
      <c r="D29" s="19"/>
      <c r="E29" s="246"/>
      <c r="F29" s="246"/>
      <c r="G29" s="246"/>
      <c r="H29" s="18"/>
      <c r="I29" s="19"/>
      <c r="J29" s="19"/>
      <c r="K29" s="19"/>
      <c r="L29" s="19"/>
      <c r="M29" s="19"/>
      <c r="N29" s="19"/>
      <c r="O29" s="19"/>
      <c r="P29" s="19"/>
      <c r="Q29" s="19"/>
      <c r="R29" s="20"/>
      <c r="S29" s="21" t="s">
        <v>53</v>
      </c>
      <c r="T29" s="19"/>
      <c r="U29" s="246"/>
      <c r="V29" s="246"/>
      <c r="W29" s="246"/>
      <c r="X29" s="9"/>
      <c r="AA29" s="34" t="s">
        <v>62</v>
      </c>
      <c r="AB29" s="34"/>
      <c r="AC29" s="34"/>
      <c r="AD29" s="251">
        <f>((AD$18-AD22)^2+(AG$18-AG22)^2)^0.5</f>
        <v>8.1681757339764985E-4</v>
      </c>
      <c r="AE29" s="252"/>
      <c r="AF29" s="252"/>
      <c r="AG29" s="252"/>
      <c r="AH29" s="252"/>
      <c r="AI29" s="253"/>
      <c r="AO29" s="263" t="s">
        <v>77</v>
      </c>
      <c r="AP29" s="264"/>
      <c r="AQ29" s="264"/>
      <c r="AR29" s="264"/>
      <c r="AS29" s="264"/>
      <c r="AT29" s="264"/>
      <c r="AU29" s="265"/>
      <c r="AV29" s="251">
        <f>((AR$21-AR22)^2+(AU$21-AU22)^2)^0.5</f>
        <v>5.4635469759619134E-3</v>
      </c>
      <c r="AW29" s="252"/>
      <c r="AX29" s="252"/>
      <c r="AY29" s="252"/>
      <c r="AZ29" s="252"/>
      <c r="BA29" s="253"/>
      <c r="BC29" s="17"/>
      <c r="BD29" s="17"/>
      <c r="BE29" s="17"/>
      <c r="BF29" s="17"/>
      <c r="BG29" s="17"/>
      <c r="BH29" s="17"/>
      <c r="BI29" s="17"/>
    </row>
    <row r="30" spans="2:61" ht="13.8" thickBot="1">
      <c r="B30" s="8"/>
      <c r="C30" s="10" t="s">
        <v>41</v>
      </c>
      <c r="D30" s="236">
        <v>0.30774400000000002</v>
      </c>
      <c r="E30" s="237"/>
      <c r="F30" s="237"/>
      <c r="G30" s="238"/>
      <c r="H30" s="18"/>
      <c r="I30" s="19"/>
      <c r="J30" s="19"/>
      <c r="K30" s="19"/>
      <c r="L30" s="19"/>
      <c r="M30" s="19"/>
      <c r="N30" s="19"/>
      <c r="O30" s="19"/>
      <c r="P30" s="19"/>
      <c r="Q30" s="19"/>
      <c r="R30" s="20"/>
      <c r="S30" s="21" t="s">
        <v>41</v>
      </c>
      <c r="T30" s="236">
        <v>0.30604599999999998</v>
      </c>
      <c r="U30" s="237"/>
      <c r="V30" s="237"/>
      <c r="W30" s="238"/>
      <c r="X30" s="9"/>
      <c r="AA30" s="34" t="s">
        <v>63</v>
      </c>
      <c r="AB30" s="34"/>
      <c r="AC30" s="34"/>
      <c r="AD30" s="251">
        <f>((AD$19-AD20)^2+(AG$19-AG20)^2)^0.5</f>
        <v>7.9918933999880435E-4</v>
      </c>
      <c r="AE30" s="252"/>
      <c r="AF30" s="252"/>
      <c r="AG30" s="252"/>
      <c r="AH30" s="252"/>
      <c r="AI30" s="253"/>
      <c r="AO30" s="263" t="s">
        <v>78</v>
      </c>
      <c r="AP30" s="264"/>
      <c r="AQ30" s="264"/>
      <c r="AR30" s="264"/>
      <c r="AS30" s="264"/>
      <c r="AT30" s="264"/>
      <c r="AU30" s="265"/>
      <c r="AV30" s="251">
        <f>((AR$21-AR23)^2+(AU$21-AU23)^2)^0.5</f>
        <v>5.4635469759619134E-3</v>
      </c>
      <c r="AW30" s="252"/>
      <c r="AX30" s="252"/>
      <c r="AY30" s="252"/>
      <c r="AZ30" s="252"/>
      <c r="BA30" s="253"/>
    </row>
    <row r="31" spans="2:61">
      <c r="B31" s="8"/>
      <c r="C31" s="10"/>
      <c r="D31" s="21"/>
      <c r="E31" s="21"/>
      <c r="F31" s="21"/>
      <c r="G31" s="21"/>
      <c r="H31" s="18"/>
      <c r="I31" s="19"/>
      <c r="J31" s="19"/>
      <c r="K31" s="19"/>
      <c r="L31" s="19"/>
      <c r="M31" s="19"/>
      <c r="N31" s="19"/>
      <c r="O31" s="19"/>
      <c r="P31" s="19"/>
      <c r="Q31" s="19"/>
      <c r="R31" s="20"/>
      <c r="S31" s="21"/>
      <c r="T31" s="21"/>
      <c r="U31" s="21"/>
      <c r="V31" s="21"/>
      <c r="W31" s="21"/>
      <c r="X31" s="9"/>
      <c r="AA31" s="34" t="s">
        <v>64</v>
      </c>
      <c r="AB31" s="34"/>
      <c r="AC31" s="34"/>
      <c r="AD31" s="251">
        <f>((AD$19-AD21)^2+(AG$19-AG21)^2)^0.5</f>
        <v>1.452237552552496E-3</v>
      </c>
      <c r="AE31" s="252"/>
      <c r="AF31" s="252"/>
      <c r="AG31" s="252"/>
      <c r="AH31" s="252"/>
      <c r="AI31" s="253"/>
      <c r="AO31" s="267" t="s">
        <v>79</v>
      </c>
      <c r="AP31" s="268"/>
      <c r="AQ31" s="268"/>
      <c r="AR31" s="268"/>
      <c r="AS31" s="268"/>
      <c r="AT31" s="268"/>
      <c r="AU31" s="269"/>
      <c r="AV31" s="254">
        <f>((AR$22-AR23)^2+(AU$22-AU23)^2)^0.5</f>
        <v>0</v>
      </c>
      <c r="AW31" s="255"/>
      <c r="AX31" s="255"/>
      <c r="AY31" s="255"/>
      <c r="AZ31" s="255"/>
      <c r="BA31" s="256"/>
    </row>
    <row r="32" spans="2:61">
      <c r="B32" s="11"/>
      <c r="C32" s="12"/>
      <c r="D32" s="27"/>
      <c r="E32" s="27"/>
      <c r="F32" s="27"/>
      <c r="G32" s="27"/>
      <c r="H32" s="28"/>
      <c r="I32" s="19"/>
      <c r="J32" s="29"/>
      <c r="K32" s="30"/>
      <c r="L32" s="30"/>
      <c r="M32" s="30"/>
      <c r="N32" s="30"/>
      <c r="O32" s="30"/>
      <c r="P32" s="31"/>
      <c r="Q32" s="19"/>
      <c r="R32" s="32"/>
      <c r="S32" s="27"/>
      <c r="T32" s="27"/>
      <c r="U32" s="27"/>
      <c r="V32" s="27"/>
      <c r="W32" s="27"/>
      <c r="X32" s="13"/>
      <c r="AA32" s="34" t="s">
        <v>65</v>
      </c>
      <c r="AB32" s="34"/>
      <c r="AC32" s="34"/>
      <c r="AD32" s="251">
        <f>((AD$19-AD22)^2+(AG$19-AG22)^2)^0.5</f>
        <v>8.748381134604696E-4</v>
      </c>
      <c r="AE32" s="252"/>
      <c r="AF32" s="252"/>
      <c r="AG32" s="252"/>
      <c r="AH32" s="252"/>
      <c r="AI32" s="253"/>
      <c r="AO32" s="266" t="s">
        <v>69</v>
      </c>
      <c r="AP32" s="266"/>
      <c r="AQ32" s="266"/>
      <c r="AR32" s="266"/>
      <c r="AS32" s="266"/>
      <c r="AT32" s="266"/>
      <c r="AU32" s="266"/>
      <c r="AV32" s="257">
        <f>MAX(AV26:AY31)</f>
        <v>5.4635469759619134E-3</v>
      </c>
      <c r="AW32" s="258"/>
      <c r="AX32" s="258"/>
      <c r="AY32" s="258"/>
      <c r="AZ32" s="258"/>
      <c r="BA32" s="259"/>
    </row>
    <row r="33" spans="2:35" ht="13.8" thickBot="1">
      <c r="B33" s="16"/>
      <c r="C33" s="16"/>
      <c r="D33" s="19"/>
      <c r="E33" s="19"/>
      <c r="F33" s="19"/>
      <c r="G33" s="19"/>
      <c r="H33" s="19"/>
      <c r="I33" s="19"/>
      <c r="J33" s="20"/>
      <c r="K33" s="21"/>
      <c r="L33" s="21"/>
      <c r="M33" s="21"/>
      <c r="N33" s="21"/>
      <c r="O33" s="21"/>
      <c r="P33" s="18"/>
      <c r="Q33" s="19"/>
      <c r="R33" s="19"/>
      <c r="S33" s="19"/>
      <c r="T33" s="19"/>
      <c r="U33" s="19"/>
      <c r="V33" s="19"/>
      <c r="W33" s="19"/>
      <c r="X33" s="16"/>
      <c r="AA33" s="34" t="s">
        <v>66</v>
      </c>
      <c r="AB33" s="34"/>
      <c r="AC33" s="34"/>
      <c r="AD33" s="251">
        <f>((AD$20-AD21)^2+(AG$20-AG21)^2)^0.5</f>
        <v>1.2683740694891031E-3</v>
      </c>
      <c r="AE33" s="252"/>
      <c r="AF33" s="252"/>
      <c r="AG33" s="252"/>
      <c r="AH33" s="252"/>
      <c r="AI33" s="253"/>
    </row>
    <row r="34" spans="2:35" ht="13.8" thickBot="1">
      <c r="B34" s="16"/>
      <c r="C34" s="16"/>
      <c r="D34" s="19"/>
      <c r="E34" s="19"/>
      <c r="F34" s="19"/>
      <c r="G34" s="19"/>
      <c r="H34" s="19"/>
      <c r="I34" s="19"/>
      <c r="J34" s="20"/>
      <c r="K34" s="21" t="s">
        <v>42</v>
      </c>
      <c r="L34" s="236">
        <v>0.29813600000000001</v>
      </c>
      <c r="M34" s="237"/>
      <c r="N34" s="237"/>
      <c r="O34" s="238"/>
      <c r="P34" s="18"/>
      <c r="Q34" s="19"/>
      <c r="R34" s="19"/>
      <c r="S34" s="19"/>
      <c r="T34" s="19"/>
      <c r="U34" s="19"/>
      <c r="V34" s="19"/>
      <c r="W34" s="19"/>
      <c r="X34" s="16"/>
      <c r="AA34" s="34" t="s">
        <v>67</v>
      </c>
      <c r="AB34" s="34"/>
      <c r="AC34" s="34"/>
      <c r="AD34" s="251">
        <f>((AD$20-AD22)^2+(AG$20-AG22)^2)^0.5</f>
        <v>9.5640277781070459E-4</v>
      </c>
      <c r="AE34" s="252"/>
      <c r="AF34" s="252"/>
      <c r="AG34" s="252"/>
      <c r="AH34" s="252"/>
      <c r="AI34" s="253"/>
    </row>
    <row r="35" spans="2:35" ht="13.8" thickBot="1">
      <c r="B35" s="16"/>
      <c r="C35" s="16"/>
      <c r="D35" s="19"/>
      <c r="E35" s="19"/>
      <c r="F35" s="19"/>
      <c r="G35" s="19"/>
      <c r="H35" s="19"/>
      <c r="I35" s="19"/>
      <c r="J35" s="20"/>
      <c r="K35" s="21" t="s">
        <v>54</v>
      </c>
      <c r="L35" s="19"/>
      <c r="M35" s="246"/>
      <c r="N35" s="246"/>
      <c r="O35" s="246"/>
      <c r="P35" s="18"/>
      <c r="Q35" s="19"/>
      <c r="R35" s="19"/>
      <c r="S35" s="19"/>
      <c r="T35" s="19"/>
      <c r="U35" s="19"/>
      <c r="V35" s="19"/>
      <c r="W35" s="19"/>
      <c r="X35" s="16"/>
      <c r="AA35" s="35" t="s">
        <v>68</v>
      </c>
      <c r="AB35" s="35"/>
      <c r="AC35" s="35"/>
      <c r="AD35" s="254">
        <f>((AD$21-AD22)^2+(AG$21-AG22)^2)^0.5</f>
        <v>6.0330849517903763E-4</v>
      </c>
      <c r="AE35" s="255"/>
      <c r="AF35" s="255"/>
      <c r="AG35" s="255"/>
      <c r="AH35" s="255"/>
      <c r="AI35" s="256"/>
    </row>
    <row r="36" spans="2:35" ht="13.8" thickBot="1">
      <c r="B36" s="16"/>
      <c r="C36" s="16"/>
      <c r="D36" s="19"/>
      <c r="E36" s="19"/>
      <c r="F36" s="19"/>
      <c r="G36" s="19"/>
      <c r="H36" s="19"/>
      <c r="I36" s="19"/>
      <c r="J36" s="20"/>
      <c r="K36" s="21" t="s">
        <v>41</v>
      </c>
      <c r="L36" s="236">
        <v>0.30709799999999998</v>
      </c>
      <c r="M36" s="237"/>
      <c r="N36" s="237"/>
      <c r="O36" s="238"/>
      <c r="P36" s="18"/>
      <c r="Q36" s="19"/>
      <c r="R36" s="19"/>
      <c r="S36" s="19"/>
      <c r="T36" s="19"/>
      <c r="U36" s="19"/>
      <c r="V36" s="19"/>
      <c r="W36" s="19"/>
      <c r="X36" s="16"/>
      <c r="AA36" s="36" t="s">
        <v>69</v>
      </c>
      <c r="AB36" s="36"/>
      <c r="AC36" s="36"/>
      <c r="AD36" s="257">
        <f>MAX(AD26:AI35)</f>
        <v>1.452237552552496E-3</v>
      </c>
      <c r="AE36" s="258"/>
      <c r="AF36" s="258"/>
      <c r="AG36" s="258"/>
      <c r="AH36" s="258"/>
      <c r="AI36" s="259"/>
    </row>
    <row r="37" spans="2:35">
      <c r="B37" s="16"/>
      <c r="C37" s="16"/>
      <c r="D37" s="19"/>
      <c r="E37" s="19"/>
      <c r="F37" s="19"/>
      <c r="G37" s="19"/>
      <c r="H37" s="19"/>
      <c r="I37" s="19"/>
      <c r="J37" s="20"/>
      <c r="K37" s="21"/>
      <c r="L37" s="21"/>
      <c r="M37" s="21"/>
      <c r="N37" s="21"/>
      <c r="O37" s="21"/>
      <c r="P37" s="18"/>
      <c r="Q37" s="19"/>
      <c r="R37" s="19"/>
      <c r="S37" s="19"/>
      <c r="T37" s="19"/>
      <c r="U37" s="19"/>
      <c r="V37" s="19"/>
      <c r="W37" s="19"/>
      <c r="X37" s="16"/>
    </row>
    <row r="38" spans="2:35">
      <c r="B38" s="5"/>
      <c r="C38" s="6"/>
      <c r="D38" s="30"/>
      <c r="E38" s="30"/>
      <c r="F38" s="30"/>
      <c r="G38" s="30"/>
      <c r="H38" s="31"/>
      <c r="I38" s="19"/>
      <c r="J38" s="32"/>
      <c r="K38" s="27"/>
      <c r="L38" s="27"/>
      <c r="M38" s="27"/>
      <c r="N38" s="27"/>
      <c r="O38" s="27"/>
      <c r="P38" s="28"/>
      <c r="Q38" s="19"/>
      <c r="R38" s="29"/>
      <c r="S38" s="30"/>
      <c r="T38" s="30"/>
      <c r="U38" s="30"/>
      <c r="V38" s="30"/>
      <c r="W38" s="30"/>
      <c r="X38" s="7"/>
    </row>
    <row r="39" spans="2:35" ht="13.8" thickBot="1">
      <c r="B39" s="8"/>
      <c r="C39" s="10"/>
      <c r="D39" s="21"/>
      <c r="E39" s="21"/>
      <c r="F39" s="21"/>
      <c r="G39" s="21"/>
      <c r="H39" s="18"/>
      <c r="I39" s="19"/>
      <c r="J39" s="19"/>
      <c r="K39" s="19"/>
      <c r="L39" s="19"/>
      <c r="M39" s="19"/>
      <c r="N39" s="19"/>
      <c r="O39" s="19"/>
      <c r="P39" s="19"/>
      <c r="Q39" s="19"/>
      <c r="R39" s="20"/>
      <c r="S39" s="21"/>
      <c r="T39" s="21"/>
      <c r="U39" s="21"/>
      <c r="V39" s="21"/>
      <c r="W39" s="21"/>
      <c r="X39" s="9"/>
    </row>
    <row r="40" spans="2:35" ht="13.8" thickBot="1">
      <c r="B40" s="8"/>
      <c r="C40" s="10" t="s">
        <v>42</v>
      </c>
      <c r="D40" s="236">
        <v>0.299985</v>
      </c>
      <c r="E40" s="237"/>
      <c r="F40" s="237"/>
      <c r="G40" s="238"/>
      <c r="H40" s="18"/>
      <c r="I40" s="19"/>
      <c r="J40" s="19"/>
      <c r="K40" s="19"/>
      <c r="L40" s="19"/>
      <c r="M40" s="19"/>
      <c r="N40" s="19"/>
      <c r="O40" s="19"/>
      <c r="P40" s="19"/>
      <c r="Q40" s="19"/>
      <c r="R40" s="20"/>
      <c r="S40" s="21" t="s">
        <v>42</v>
      </c>
      <c r="T40" s="236">
        <v>0.29943399999999998</v>
      </c>
      <c r="U40" s="237"/>
      <c r="V40" s="237"/>
      <c r="W40" s="238"/>
      <c r="X40" s="9"/>
    </row>
    <row r="41" spans="2:35" ht="13.8" thickBot="1">
      <c r="B41" s="8"/>
      <c r="C41" s="10" t="s">
        <v>55</v>
      </c>
      <c r="D41" s="19"/>
      <c r="E41" s="246"/>
      <c r="F41" s="246"/>
      <c r="G41" s="246"/>
      <c r="H41" s="18"/>
      <c r="I41" s="19"/>
      <c r="J41" s="19"/>
      <c r="K41" s="19"/>
      <c r="L41" s="19"/>
      <c r="M41" s="19"/>
      <c r="N41" s="19"/>
      <c r="O41" s="19"/>
      <c r="P41" s="19"/>
      <c r="Q41" s="19"/>
      <c r="R41" s="20"/>
      <c r="S41" s="21" t="s">
        <v>56</v>
      </c>
      <c r="T41" s="19"/>
      <c r="U41" s="246"/>
      <c r="V41" s="246"/>
      <c r="W41" s="246"/>
      <c r="X41" s="9"/>
    </row>
    <row r="42" spans="2:35" ht="13.8" thickBot="1">
      <c r="B42" s="8"/>
      <c r="C42" s="10" t="s">
        <v>41</v>
      </c>
      <c r="D42" s="236">
        <v>0.30798900000000001</v>
      </c>
      <c r="E42" s="237"/>
      <c r="F42" s="237"/>
      <c r="G42" s="238"/>
      <c r="H42" s="18"/>
      <c r="I42" s="19"/>
      <c r="J42" s="19"/>
      <c r="K42" s="19"/>
      <c r="L42" s="19"/>
      <c r="M42" s="19"/>
      <c r="N42" s="19"/>
      <c r="O42" s="19"/>
      <c r="P42" s="19"/>
      <c r="Q42" s="19"/>
      <c r="R42" s="20"/>
      <c r="S42" s="21" t="s">
        <v>41</v>
      </c>
      <c r="T42" s="236">
        <v>0.30709799999999998</v>
      </c>
      <c r="U42" s="237"/>
      <c r="V42" s="237"/>
      <c r="W42" s="238"/>
      <c r="X42" s="9"/>
    </row>
    <row r="43" spans="2:35">
      <c r="B43" s="8"/>
      <c r="C43" s="10"/>
      <c r="D43" s="10"/>
      <c r="E43" s="10"/>
      <c r="F43" s="10"/>
      <c r="G43" s="10"/>
      <c r="H43" s="9"/>
      <c r="I43" s="16"/>
      <c r="J43" s="16"/>
      <c r="K43" s="16"/>
      <c r="L43" s="16"/>
      <c r="M43" s="16"/>
      <c r="N43" s="16"/>
      <c r="O43" s="16"/>
      <c r="P43" s="16"/>
      <c r="Q43" s="16"/>
      <c r="R43" s="8"/>
      <c r="S43" s="10"/>
      <c r="T43" s="10"/>
      <c r="U43" s="10"/>
      <c r="V43" s="10"/>
      <c r="W43" s="10"/>
      <c r="X43" s="9"/>
    </row>
    <row r="44" spans="2:35">
      <c r="B44" s="11"/>
      <c r="C44" s="12"/>
      <c r="D44" s="12"/>
      <c r="E44" s="12"/>
      <c r="F44" s="12"/>
      <c r="G44" s="12"/>
      <c r="H44" s="13"/>
      <c r="I44" s="16"/>
      <c r="J44" s="16"/>
      <c r="K44" s="16"/>
      <c r="L44" s="16"/>
      <c r="M44" s="16"/>
      <c r="N44" s="16"/>
      <c r="O44" s="16"/>
      <c r="P44" s="16"/>
      <c r="Q44" s="16"/>
      <c r="R44" s="11"/>
      <c r="S44" s="12"/>
      <c r="T44" s="12"/>
      <c r="U44" s="12"/>
      <c r="V44" s="12"/>
      <c r="W44" s="12"/>
      <c r="X44" s="13"/>
    </row>
  </sheetData>
  <sheetProtection password="C97F" sheet="1" objects="1" scenarios="1"/>
  <mergeCells count="105">
    <mergeCell ref="AV2:BA2"/>
    <mergeCell ref="AV26:BA26"/>
    <mergeCell ref="AV27:BA27"/>
    <mergeCell ref="AV28:BA28"/>
    <mergeCell ref="AU23:AW23"/>
    <mergeCell ref="AU21:AW21"/>
    <mergeCell ref="AW6:AZ6"/>
    <mergeCell ref="AX9:AZ9"/>
    <mergeCell ref="AA22:AC22"/>
    <mergeCell ref="AA23:AC23"/>
    <mergeCell ref="AD22:AF22"/>
    <mergeCell ref="AD23:AF23"/>
    <mergeCell ref="AD19:AF19"/>
    <mergeCell ref="AA21:AC21"/>
    <mergeCell ref="AA20:AC20"/>
    <mergeCell ref="AD21:AF21"/>
    <mergeCell ref="AO22:AQ22"/>
    <mergeCell ref="AU22:AW22"/>
    <mergeCell ref="AG22:AI22"/>
    <mergeCell ref="AR19:AT19"/>
    <mergeCell ref="AU19:AW19"/>
    <mergeCell ref="AO20:AQ20"/>
    <mergeCell ref="AU20:AW20"/>
    <mergeCell ref="AO19:AQ19"/>
    <mergeCell ref="J5:P5"/>
    <mergeCell ref="J6:P6"/>
    <mergeCell ref="E8:G8"/>
    <mergeCell ref="U8:W8"/>
    <mergeCell ref="D7:G7"/>
    <mergeCell ref="D21:G21"/>
    <mergeCell ref="T19:W19"/>
    <mergeCell ref="T21:W21"/>
    <mergeCell ref="AV32:BA32"/>
    <mergeCell ref="AO32:AU32"/>
    <mergeCell ref="AD31:AI31"/>
    <mergeCell ref="AO31:AU31"/>
    <mergeCell ref="AD32:AI32"/>
    <mergeCell ref="AV31:BA31"/>
    <mergeCell ref="AG19:AI19"/>
    <mergeCell ref="AG20:AI20"/>
    <mergeCell ref="AD30:AI30"/>
    <mergeCell ref="AV30:BA30"/>
    <mergeCell ref="AG23:AI23"/>
    <mergeCell ref="AO23:AQ23"/>
    <mergeCell ref="AD29:AI29"/>
    <mergeCell ref="AD26:AI26"/>
    <mergeCell ref="AD27:AI27"/>
    <mergeCell ref="AD28:AI28"/>
    <mergeCell ref="AX8:AZ8"/>
    <mergeCell ref="J26:P26"/>
    <mergeCell ref="D9:G9"/>
    <mergeCell ref="T7:W7"/>
    <mergeCell ref="T9:W9"/>
    <mergeCell ref="L13:O13"/>
    <mergeCell ref="M14:O14"/>
    <mergeCell ref="E20:G20"/>
    <mergeCell ref="D30:G30"/>
    <mergeCell ref="T30:W30"/>
    <mergeCell ref="U20:W20"/>
    <mergeCell ref="L15:O15"/>
    <mergeCell ref="D19:G19"/>
    <mergeCell ref="AV29:BA29"/>
    <mergeCell ref="AR20:AT20"/>
    <mergeCell ref="AR21:AT21"/>
    <mergeCell ref="AR22:AT22"/>
    <mergeCell ref="AR23:AT23"/>
    <mergeCell ref="AO21:AQ21"/>
    <mergeCell ref="AO29:AU29"/>
    <mergeCell ref="AO30:AU30"/>
    <mergeCell ref="D42:G42"/>
    <mergeCell ref="T42:W42"/>
    <mergeCell ref="L36:O36"/>
    <mergeCell ref="D40:G40"/>
    <mergeCell ref="T40:W40"/>
    <mergeCell ref="E41:G41"/>
    <mergeCell ref="AD20:AF20"/>
    <mergeCell ref="U41:W41"/>
    <mergeCell ref="AI6:AL6"/>
    <mergeCell ref="AG21:AI21"/>
    <mergeCell ref="L34:O34"/>
    <mergeCell ref="M35:O35"/>
    <mergeCell ref="J27:P27"/>
    <mergeCell ref="D28:G28"/>
    <mergeCell ref="T28:W28"/>
    <mergeCell ref="E29:G29"/>
    <mergeCell ref="U29:W29"/>
    <mergeCell ref="AD34:AI34"/>
    <mergeCell ref="AD35:AI35"/>
    <mergeCell ref="AD36:AI36"/>
    <mergeCell ref="AD33:AI33"/>
    <mergeCell ref="AP6:AS6"/>
    <mergeCell ref="AB6:AE6"/>
    <mergeCell ref="AA19:AC19"/>
    <mergeCell ref="AC8:AE8"/>
    <mergeCell ref="AC9:AE9"/>
    <mergeCell ref="AA17:AC17"/>
    <mergeCell ref="AA18:AC18"/>
    <mergeCell ref="AD17:AF17"/>
    <mergeCell ref="AJ8:AL8"/>
    <mergeCell ref="AG17:AI17"/>
    <mergeCell ref="AG18:AI18"/>
    <mergeCell ref="AD18:AF18"/>
    <mergeCell ref="AJ9:AL9"/>
    <mergeCell ref="AQ9:AS9"/>
    <mergeCell ref="AQ8:AS8"/>
  </mergeCells>
  <phoneticPr fontId="2"/>
  <printOptions horizontalCentered="1"/>
  <pageMargins left="0.78740157480314965" right="0.78740157480314965" top="0.59055118110236227" bottom="0.59055118110236227" header="0.51181102362204722" footer="0.51181102362204722"/>
  <pageSetup paperSize="9" scale="90" orientation="landscape" horizontalDpi="720" verticalDpi="720" copies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activeCell="D38" sqref="D38"/>
    </sheetView>
  </sheetViews>
  <sheetFormatPr defaultRowHeight="13.2"/>
  <cols>
    <col min="1" max="1" width="10.21875" bestFit="1" customWidth="1"/>
    <col min="5" max="5" width="16.77734375" bestFit="1" customWidth="1"/>
    <col min="6" max="6" width="25.6640625" bestFit="1" customWidth="1"/>
  </cols>
  <sheetData>
    <row r="1" spans="1:11">
      <c r="B1" t="s">
        <v>104</v>
      </c>
      <c r="C1" t="s">
        <v>105</v>
      </c>
      <c r="D1" t="s">
        <v>106</v>
      </c>
      <c r="E1" s="97" t="s">
        <v>115</v>
      </c>
      <c r="F1" s="97" t="s">
        <v>115</v>
      </c>
      <c r="G1" s="97" t="s">
        <v>149</v>
      </c>
      <c r="H1" s="98" t="s">
        <v>149</v>
      </c>
      <c r="I1" s="98" t="s">
        <v>149</v>
      </c>
      <c r="J1" s="98" t="s">
        <v>149</v>
      </c>
      <c r="K1" s="98" t="s">
        <v>149</v>
      </c>
    </row>
    <row r="2" spans="1:11">
      <c r="A2" t="s">
        <v>107</v>
      </c>
      <c r="B2" s="93" t="s">
        <v>108</v>
      </c>
      <c r="C2" s="93" t="s">
        <v>109</v>
      </c>
      <c r="D2" s="92" t="s">
        <v>29</v>
      </c>
      <c r="E2" s="94" t="s">
        <v>145</v>
      </c>
      <c r="F2" s="94" t="s">
        <v>121</v>
      </c>
      <c r="G2" s="96">
        <v>10</v>
      </c>
      <c r="H2" s="96">
        <v>350</v>
      </c>
      <c r="I2" s="96">
        <v>250</v>
      </c>
      <c r="J2" s="96">
        <v>0.01</v>
      </c>
      <c r="K2" s="96">
        <v>0.01</v>
      </c>
    </row>
    <row r="3" spans="1:11">
      <c r="A3" t="s">
        <v>110</v>
      </c>
      <c r="B3" s="93" t="s">
        <v>111</v>
      </c>
      <c r="C3" s="93" t="s">
        <v>162</v>
      </c>
      <c r="D3" s="92" t="s">
        <v>29</v>
      </c>
      <c r="E3" s="94" t="s">
        <v>144</v>
      </c>
      <c r="F3" s="94" t="s">
        <v>121</v>
      </c>
      <c r="G3" s="96">
        <v>15</v>
      </c>
      <c r="H3" s="96">
        <v>170</v>
      </c>
      <c r="I3" s="96">
        <v>250</v>
      </c>
      <c r="J3" s="96">
        <v>0.01</v>
      </c>
      <c r="K3" s="96">
        <v>0.01</v>
      </c>
    </row>
    <row r="4" spans="1:11">
      <c r="A4" t="s">
        <v>112</v>
      </c>
      <c r="B4" s="82" t="s">
        <v>113</v>
      </c>
      <c r="C4" s="82" t="s">
        <v>114</v>
      </c>
      <c r="D4" s="92" t="s">
        <v>114</v>
      </c>
      <c r="E4" s="93" t="s">
        <v>84</v>
      </c>
      <c r="F4" s="93" t="s">
        <v>84</v>
      </c>
      <c r="G4" s="96">
        <v>30</v>
      </c>
      <c r="H4" s="96">
        <v>100</v>
      </c>
      <c r="I4" s="96">
        <v>100</v>
      </c>
      <c r="J4" s="96" t="s">
        <v>152</v>
      </c>
      <c r="K4" s="96" t="s">
        <v>152</v>
      </c>
    </row>
  </sheetData>
  <sheetProtection password="C97F" sheet="1" objects="1" scenarios="1"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8</vt:i4>
      </vt:variant>
    </vt:vector>
  </HeadingPairs>
  <TitlesOfParts>
    <vt:vector size="14" baseType="lpstr">
      <vt:lpstr>受入試験</vt:lpstr>
      <vt:lpstr>輝度均一性</vt:lpstr>
      <vt:lpstr>コントラスト応答</vt:lpstr>
      <vt:lpstr>最大輝度</vt:lpstr>
      <vt:lpstr>色度</vt:lpstr>
      <vt:lpstr>グレードパラメータ</vt:lpstr>
      <vt:lpstr>受入試験!_ftn1</vt:lpstr>
      <vt:lpstr>受入試験!_ftnref1</vt:lpstr>
      <vt:lpstr>受入試験!OLE_LINK1</vt:lpstr>
      <vt:lpstr>コントラスト応答!Print_Area</vt:lpstr>
      <vt:lpstr>輝度均一性!Print_Area</vt:lpstr>
      <vt:lpstr>最大輝度!Print_Area</vt:lpstr>
      <vt:lpstr>受入試験!Print_Area</vt:lpstr>
      <vt:lpstr>色度!Print_Area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USER</dc:creator>
  <cp:lastModifiedBy>安田 哲也</cp:lastModifiedBy>
  <cp:lastPrinted>2017-07-10T11:31:11Z</cp:lastPrinted>
  <dcterms:created xsi:type="dcterms:W3CDTF">2005-08-08T19:57:25Z</dcterms:created>
  <dcterms:modified xsi:type="dcterms:W3CDTF">2017-07-10T11:35:44Z</dcterms:modified>
</cp:coreProperties>
</file>